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00" activeTab="0"/>
  </bookViews>
  <sheets>
    <sheet name="表" sheetId="1" r:id="rId1"/>
  </sheets>
  <definedNames/>
  <calcPr fullCalcOnLoad="1"/>
</workbook>
</file>

<file path=xl/sharedStrings.xml><?xml version="1.0" encoding="utf-8"?>
<sst xmlns="http://schemas.openxmlformats.org/spreadsheetml/2006/main" count="1397" uniqueCount="14">
  <si>
    <t>附件：2023年三亚学院附属小学第一次面向社会公开招聘教师资格初审合格人员名单</t>
  </si>
  <si>
    <t>序号</t>
  </si>
  <si>
    <t>报考号</t>
  </si>
  <si>
    <t>报考岗位</t>
  </si>
  <si>
    <t>姓名</t>
  </si>
  <si>
    <t>性别</t>
  </si>
  <si>
    <t>身份证号码</t>
  </si>
  <si>
    <t>0101_小学语文教师</t>
  </si>
  <si>
    <t>0102_小学数学教师</t>
  </si>
  <si>
    <t>0103_小学体育教师</t>
  </si>
  <si>
    <t>0104_小学美术教师</t>
  </si>
  <si>
    <t>0105_小学音乐教师</t>
  </si>
  <si>
    <t>0106_小学道德与法治教师</t>
  </si>
  <si>
    <t>0107_小学科学教师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</si>
</sst>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1"/>
      <color indexed="8"/>
      <name val="宋体"/>
      <family val="0"/>
    </font>
    <font>
      <b/>
      <sz val="2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1">
    <xf numFmtId="0" fontId="0" fillId="0" borderId="0" xfId="0" applyFont="1" applyAlignment="1">
      <alignment vertical="center"/>
    </xf>
    <xf numFmtId="0" fontId="37" fillId="0" borderId="0" xfId="0" applyFont="1" applyFill="1" applyAlignment="1">
      <alignment horizontal="center" vertical="center" wrapText="1"/>
    </xf>
    <xf numFmtId="0" fontId="37"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40" fillId="0" borderId="0" xfId="0" applyFont="1" applyFill="1" applyAlignment="1">
      <alignment horizontal="center" vertical="center" wrapText="1"/>
    </xf>
    <xf numFmtId="0" fontId="40" fillId="0" borderId="0" xfId="0" applyFont="1" applyFill="1" applyAlignment="1">
      <alignment horizontal="center" vertical="center" wrapText="1"/>
    </xf>
    <xf numFmtId="0" fontId="37" fillId="0" borderId="9" xfId="0" applyFont="1" applyFill="1" applyBorder="1" applyAlignment="1">
      <alignment horizontal="center" vertical="center" wrapText="1"/>
    </xf>
    <xf numFmtId="0" fontId="37" fillId="0" borderId="9" xfId="0" applyFont="1" applyFill="1" applyBorder="1" applyAlignment="1">
      <alignment horizontal="center" vertical="center"/>
    </xf>
    <xf numFmtId="0" fontId="0" fillId="0" borderId="9" xfId="0" applyFill="1" applyBorder="1" applyAlignment="1">
      <alignment horizontal="center" vertical="center" wrapText="1"/>
    </xf>
    <xf numFmtId="0" fontId="0" fillId="0" borderId="9" xfId="0"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392"/>
  <sheetViews>
    <sheetView tabSelected="1" workbookViewId="0" topLeftCell="A1381">
      <selection activeCell="F71" sqref="F71"/>
    </sheetView>
  </sheetViews>
  <sheetFormatPr defaultColWidth="9.00390625" defaultRowHeight="34.5" customHeight="1"/>
  <cols>
    <col min="1" max="1" width="9.00390625" style="3" customWidth="1"/>
    <col min="2" max="2" width="27.140625" style="4" customWidth="1"/>
    <col min="3" max="3" width="24.7109375" style="4" customWidth="1"/>
    <col min="4" max="4" width="8.00390625" style="4" customWidth="1"/>
    <col min="5" max="5" width="11.28125" style="4" customWidth="1"/>
    <col min="6" max="6" width="20.8515625" style="4" customWidth="1"/>
    <col min="7" max="16384" width="9.00390625" style="3" customWidth="1"/>
  </cols>
  <sheetData>
    <row r="1" spans="1:6" s="1" customFormat="1" ht="72.75" customHeight="1">
      <c r="A1" s="5" t="s">
        <v>0</v>
      </c>
      <c r="B1" s="6"/>
      <c r="C1" s="6"/>
      <c r="D1" s="6"/>
      <c r="E1" s="6"/>
      <c r="F1" s="6"/>
    </row>
    <row r="2" spans="1:6" s="2" customFormat="1" ht="34.5" customHeight="1">
      <c r="A2" s="7" t="s">
        <v>1</v>
      </c>
      <c r="B2" s="8" t="s">
        <v>2</v>
      </c>
      <c r="C2" s="8" t="s">
        <v>3</v>
      </c>
      <c r="D2" s="8" t="s">
        <v>4</v>
      </c>
      <c r="E2" s="8" t="s">
        <v>5</v>
      </c>
      <c r="F2" s="8" t="s">
        <v>6</v>
      </c>
    </row>
    <row r="3" spans="1:6" ht="34.5" customHeight="1">
      <c r="A3" s="9">
        <v>1</v>
      </c>
      <c r="B3" s="10" t="str">
        <f>"54492023070207111692796"</f>
        <v>54492023070207111692796</v>
      </c>
      <c r="C3" s="10" t="s">
        <v>7</v>
      </c>
      <c r="D3" s="10" t="str">
        <f>"王艺铮"</f>
        <v>王艺铮</v>
      </c>
      <c r="E3" s="10" t="str">
        <f>"女"</f>
        <v>女</v>
      </c>
      <c r="F3" s="10"/>
    </row>
    <row r="4" spans="1:6" ht="34.5" customHeight="1">
      <c r="A4" s="9">
        <v>2</v>
      </c>
      <c r="B4" s="10" t="str">
        <f>"54492023070206530792791"</f>
        <v>54492023070206530792791</v>
      </c>
      <c r="C4" s="10" t="s">
        <v>7</v>
      </c>
      <c r="D4" s="10" t="str">
        <f>"叶兹帆"</f>
        <v>叶兹帆</v>
      </c>
      <c r="E4" s="10" t="str">
        <f>"女"</f>
        <v>女</v>
      </c>
      <c r="F4" s="10"/>
    </row>
    <row r="5" spans="1:6" ht="34.5" customHeight="1">
      <c r="A5" s="9">
        <v>3</v>
      </c>
      <c r="B5" s="10" t="str">
        <f>"54492023070208070092826"</f>
        <v>54492023070208070092826</v>
      </c>
      <c r="C5" s="10" t="s">
        <v>7</v>
      </c>
      <c r="D5" s="10" t="str">
        <f>"李金华"</f>
        <v>李金华</v>
      </c>
      <c r="E5" s="10" t="str">
        <f>"男"</f>
        <v>男</v>
      </c>
      <c r="F5" s="10"/>
    </row>
    <row r="6" spans="1:6" ht="34.5" customHeight="1">
      <c r="A6" s="9">
        <v>4</v>
      </c>
      <c r="B6" s="10" t="str">
        <f>"54492023070208014392821"</f>
        <v>54492023070208014392821</v>
      </c>
      <c r="C6" s="10" t="s">
        <v>7</v>
      </c>
      <c r="D6" s="10" t="str">
        <f>"麦绍妹"</f>
        <v>麦绍妹</v>
      </c>
      <c r="E6" s="10" t="str">
        <f aca="true" t="shared" si="0" ref="E6:E69">"女"</f>
        <v>女</v>
      </c>
      <c r="F6" s="10"/>
    </row>
    <row r="7" spans="1:6" ht="34.5" customHeight="1">
      <c r="A7" s="9">
        <v>5</v>
      </c>
      <c r="B7" s="10" t="str">
        <f>"54492023070210100593118"</f>
        <v>54492023070210100593118</v>
      </c>
      <c r="C7" s="10" t="s">
        <v>7</v>
      </c>
      <c r="D7" s="10" t="str">
        <f>"黎蝶"</f>
        <v>黎蝶</v>
      </c>
      <c r="E7" s="10" t="str">
        <f t="shared" si="0"/>
        <v>女</v>
      </c>
      <c r="F7" s="10"/>
    </row>
    <row r="8" spans="1:6" ht="34.5" customHeight="1">
      <c r="A8" s="9">
        <v>6</v>
      </c>
      <c r="B8" s="10" t="str">
        <f>"54492023070210434193221"</f>
        <v>54492023070210434193221</v>
      </c>
      <c r="C8" s="10" t="s">
        <v>7</v>
      </c>
      <c r="D8" s="10" t="str">
        <f>"李杏"</f>
        <v>李杏</v>
      </c>
      <c r="E8" s="10" t="str">
        <f t="shared" si="0"/>
        <v>女</v>
      </c>
      <c r="F8" s="10"/>
    </row>
    <row r="9" spans="1:6" ht="34.5" customHeight="1">
      <c r="A9" s="9">
        <v>7</v>
      </c>
      <c r="B9" s="10" t="str">
        <f>"54492023070208584092951"</f>
        <v>54492023070208584092951</v>
      </c>
      <c r="C9" s="10" t="s">
        <v>7</v>
      </c>
      <c r="D9" s="10" t="str">
        <f>"段练"</f>
        <v>段练</v>
      </c>
      <c r="E9" s="10" t="str">
        <f t="shared" si="0"/>
        <v>女</v>
      </c>
      <c r="F9" s="10"/>
    </row>
    <row r="10" spans="1:6" ht="34.5" customHeight="1">
      <c r="A10" s="9">
        <v>8</v>
      </c>
      <c r="B10" s="10" t="str">
        <f>"54492023070210485593239"</f>
        <v>54492023070210485593239</v>
      </c>
      <c r="C10" s="10" t="s">
        <v>7</v>
      </c>
      <c r="D10" s="10" t="str">
        <f>"钟珍珍"</f>
        <v>钟珍珍</v>
      </c>
      <c r="E10" s="10" t="str">
        <f t="shared" si="0"/>
        <v>女</v>
      </c>
      <c r="F10" s="10"/>
    </row>
    <row r="11" spans="1:6" ht="34.5" customHeight="1">
      <c r="A11" s="9">
        <v>9</v>
      </c>
      <c r="B11" s="10" t="str">
        <f>"54492023070210460893233"</f>
        <v>54492023070210460893233</v>
      </c>
      <c r="C11" s="10" t="s">
        <v>7</v>
      </c>
      <c r="D11" s="10" t="str">
        <f>"陈锦琦"</f>
        <v>陈锦琦</v>
      </c>
      <c r="E11" s="10" t="str">
        <f t="shared" si="0"/>
        <v>女</v>
      </c>
      <c r="F11" s="10"/>
    </row>
    <row r="12" spans="1:6" ht="34.5" customHeight="1">
      <c r="A12" s="9">
        <v>10</v>
      </c>
      <c r="B12" s="10" t="str">
        <f>"54492023070211030293281"</f>
        <v>54492023070211030293281</v>
      </c>
      <c r="C12" s="10" t="s">
        <v>7</v>
      </c>
      <c r="D12" s="10" t="str">
        <f>"卓小倩"</f>
        <v>卓小倩</v>
      </c>
      <c r="E12" s="10" t="str">
        <f t="shared" si="0"/>
        <v>女</v>
      </c>
      <c r="F12" s="10"/>
    </row>
    <row r="13" spans="1:6" ht="34.5" customHeight="1">
      <c r="A13" s="9">
        <v>11</v>
      </c>
      <c r="B13" s="10" t="str">
        <f>"54492023070211184893322"</f>
        <v>54492023070211184893322</v>
      </c>
      <c r="C13" s="10" t="s">
        <v>7</v>
      </c>
      <c r="D13" s="10" t="str">
        <f>"骆美妍"</f>
        <v>骆美妍</v>
      </c>
      <c r="E13" s="10" t="str">
        <f t="shared" si="0"/>
        <v>女</v>
      </c>
      <c r="F13" s="10"/>
    </row>
    <row r="14" spans="1:6" ht="34.5" customHeight="1">
      <c r="A14" s="9">
        <v>12</v>
      </c>
      <c r="B14" s="10" t="str">
        <f>"54492023070211195593330"</f>
        <v>54492023070211195593330</v>
      </c>
      <c r="C14" s="10" t="s">
        <v>7</v>
      </c>
      <c r="D14" s="10" t="str">
        <f>"陈华士"</f>
        <v>陈华士</v>
      </c>
      <c r="E14" s="10" t="str">
        <f t="shared" si="0"/>
        <v>女</v>
      </c>
      <c r="F14" s="10"/>
    </row>
    <row r="15" spans="1:6" ht="34.5" customHeight="1">
      <c r="A15" s="9">
        <v>13</v>
      </c>
      <c r="B15" s="10" t="str">
        <f>"54492023070211454693393"</f>
        <v>54492023070211454693393</v>
      </c>
      <c r="C15" s="10" t="s">
        <v>7</v>
      </c>
      <c r="D15" s="10" t="str">
        <f>"邓秋霞"</f>
        <v>邓秋霞</v>
      </c>
      <c r="E15" s="10" t="str">
        <f t="shared" si="0"/>
        <v>女</v>
      </c>
      <c r="F15" s="10"/>
    </row>
    <row r="16" spans="1:6" ht="34.5" customHeight="1">
      <c r="A16" s="9">
        <v>14</v>
      </c>
      <c r="B16" s="10" t="str">
        <f>"54492023070211592193426"</f>
        <v>54492023070211592193426</v>
      </c>
      <c r="C16" s="10" t="s">
        <v>7</v>
      </c>
      <c r="D16" s="10" t="str">
        <f>"农玉妹"</f>
        <v>农玉妹</v>
      </c>
      <c r="E16" s="10" t="str">
        <f t="shared" si="0"/>
        <v>女</v>
      </c>
      <c r="F16" s="10"/>
    </row>
    <row r="17" spans="1:6" ht="34.5" customHeight="1">
      <c r="A17" s="9">
        <v>15</v>
      </c>
      <c r="B17" s="10" t="str">
        <f>"54492023070211525693409"</f>
        <v>54492023070211525693409</v>
      </c>
      <c r="C17" s="10" t="s">
        <v>7</v>
      </c>
      <c r="D17" s="10" t="str">
        <f>"邹丹"</f>
        <v>邹丹</v>
      </c>
      <c r="E17" s="10" t="str">
        <f t="shared" si="0"/>
        <v>女</v>
      </c>
      <c r="F17" s="10"/>
    </row>
    <row r="18" spans="1:6" ht="34.5" customHeight="1">
      <c r="A18" s="9">
        <v>16</v>
      </c>
      <c r="B18" s="10" t="str">
        <f>"54492023070211344493362"</f>
        <v>54492023070211344493362</v>
      </c>
      <c r="C18" s="10" t="s">
        <v>7</v>
      </c>
      <c r="D18" s="10" t="str">
        <f>"刘立珍"</f>
        <v>刘立珍</v>
      </c>
      <c r="E18" s="10" t="str">
        <f t="shared" si="0"/>
        <v>女</v>
      </c>
      <c r="F18" s="10"/>
    </row>
    <row r="19" spans="1:6" ht="34.5" customHeight="1">
      <c r="A19" s="9">
        <v>17</v>
      </c>
      <c r="B19" s="10" t="str">
        <f>"54492023070212025593434"</f>
        <v>54492023070212025593434</v>
      </c>
      <c r="C19" s="10" t="s">
        <v>7</v>
      </c>
      <c r="D19" s="10" t="str">
        <f>"庞玉洁"</f>
        <v>庞玉洁</v>
      </c>
      <c r="E19" s="10" t="str">
        <f t="shared" si="0"/>
        <v>女</v>
      </c>
      <c r="F19" s="10"/>
    </row>
    <row r="20" spans="1:6" ht="34.5" customHeight="1">
      <c r="A20" s="9">
        <v>18</v>
      </c>
      <c r="B20" s="10" t="str">
        <f>"54492023070212205493482"</f>
        <v>54492023070212205493482</v>
      </c>
      <c r="C20" s="10" t="s">
        <v>7</v>
      </c>
      <c r="D20" s="10" t="str">
        <f>"吴泽敏"</f>
        <v>吴泽敏</v>
      </c>
      <c r="E20" s="10" t="str">
        <f t="shared" si="0"/>
        <v>女</v>
      </c>
      <c r="F20" s="10"/>
    </row>
    <row r="21" spans="1:6" ht="34.5" customHeight="1">
      <c r="A21" s="9">
        <v>19</v>
      </c>
      <c r="B21" s="10" t="str">
        <f>"54492023070212204493481"</f>
        <v>54492023070212204493481</v>
      </c>
      <c r="C21" s="10" t="s">
        <v>7</v>
      </c>
      <c r="D21" s="10" t="str">
        <f>"周茹"</f>
        <v>周茹</v>
      </c>
      <c r="E21" s="10" t="str">
        <f t="shared" si="0"/>
        <v>女</v>
      </c>
      <c r="F21" s="10"/>
    </row>
    <row r="22" spans="1:6" ht="34.5" customHeight="1">
      <c r="A22" s="9">
        <v>20</v>
      </c>
      <c r="B22" s="10" t="str">
        <f>"54492023070212313393506"</f>
        <v>54492023070212313393506</v>
      </c>
      <c r="C22" s="10" t="s">
        <v>7</v>
      </c>
      <c r="D22" s="10" t="str">
        <f>"李碧莹"</f>
        <v>李碧莹</v>
      </c>
      <c r="E22" s="10" t="str">
        <f t="shared" si="0"/>
        <v>女</v>
      </c>
      <c r="F22" s="10"/>
    </row>
    <row r="23" spans="1:6" ht="34.5" customHeight="1">
      <c r="A23" s="9">
        <v>21</v>
      </c>
      <c r="B23" s="10" t="str">
        <f>"54492023070212335793515"</f>
        <v>54492023070212335793515</v>
      </c>
      <c r="C23" s="10" t="s">
        <v>7</v>
      </c>
      <c r="D23" s="10" t="str">
        <f>"郭红岩"</f>
        <v>郭红岩</v>
      </c>
      <c r="E23" s="10" t="str">
        <f t="shared" si="0"/>
        <v>女</v>
      </c>
      <c r="F23" s="10"/>
    </row>
    <row r="24" spans="1:6" ht="34.5" customHeight="1">
      <c r="A24" s="9">
        <v>22</v>
      </c>
      <c r="B24" s="10" t="str">
        <f>"54492023070211354093365"</f>
        <v>54492023070211354093365</v>
      </c>
      <c r="C24" s="10" t="s">
        <v>7</v>
      </c>
      <c r="D24" s="10" t="str">
        <f>"李小如"</f>
        <v>李小如</v>
      </c>
      <c r="E24" s="10" t="str">
        <f t="shared" si="0"/>
        <v>女</v>
      </c>
      <c r="F24" s="10"/>
    </row>
    <row r="25" spans="1:6" ht="34.5" customHeight="1">
      <c r="A25" s="9">
        <v>23</v>
      </c>
      <c r="B25" s="10" t="str">
        <f>"54492023070212514593557"</f>
        <v>54492023070212514593557</v>
      </c>
      <c r="C25" s="10" t="s">
        <v>7</v>
      </c>
      <c r="D25" s="10" t="str">
        <f>"翟芳廷"</f>
        <v>翟芳廷</v>
      </c>
      <c r="E25" s="10" t="str">
        <f t="shared" si="0"/>
        <v>女</v>
      </c>
      <c r="F25" s="10"/>
    </row>
    <row r="26" spans="1:6" ht="34.5" customHeight="1">
      <c r="A26" s="9">
        <v>24</v>
      </c>
      <c r="B26" s="10" t="str">
        <f>"54492023070213112093605"</f>
        <v>54492023070213112093605</v>
      </c>
      <c r="C26" s="10" t="s">
        <v>7</v>
      </c>
      <c r="D26" s="10" t="str">
        <f>"周小玲"</f>
        <v>周小玲</v>
      </c>
      <c r="E26" s="10" t="str">
        <f t="shared" si="0"/>
        <v>女</v>
      </c>
      <c r="F26" s="10"/>
    </row>
    <row r="27" spans="1:6" ht="34.5" customHeight="1">
      <c r="A27" s="9">
        <v>25</v>
      </c>
      <c r="B27" s="10" t="str">
        <f>"54492023070211573493419"</f>
        <v>54492023070211573493419</v>
      </c>
      <c r="C27" s="10" t="s">
        <v>7</v>
      </c>
      <c r="D27" s="10" t="str">
        <f>"陈雅楠"</f>
        <v>陈雅楠</v>
      </c>
      <c r="E27" s="10" t="str">
        <f t="shared" si="0"/>
        <v>女</v>
      </c>
      <c r="F27" s="10"/>
    </row>
    <row r="28" spans="1:6" ht="34.5" customHeight="1">
      <c r="A28" s="9">
        <v>26</v>
      </c>
      <c r="B28" s="10" t="str">
        <f>"54492023070214295393790"</f>
        <v>54492023070214295393790</v>
      </c>
      <c r="C28" s="10" t="s">
        <v>7</v>
      </c>
      <c r="D28" s="10" t="str">
        <f>"李顺菊"</f>
        <v>李顺菊</v>
      </c>
      <c r="E28" s="10" t="str">
        <f t="shared" si="0"/>
        <v>女</v>
      </c>
      <c r="F28" s="10"/>
    </row>
    <row r="29" spans="1:6" ht="34.5" customHeight="1">
      <c r="A29" s="9">
        <v>27</v>
      </c>
      <c r="B29" s="10" t="str">
        <f>"54492023070214280393785"</f>
        <v>54492023070214280393785</v>
      </c>
      <c r="C29" s="10" t="s">
        <v>7</v>
      </c>
      <c r="D29" s="10" t="str">
        <f>"苏海媚"</f>
        <v>苏海媚</v>
      </c>
      <c r="E29" s="10" t="str">
        <f t="shared" si="0"/>
        <v>女</v>
      </c>
      <c r="F29" s="10"/>
    </row>
    <row r="30" spans="1:6" ht="34.5" customHeight="1">
      <c r="A30" s="9">
        <v>28</v>
      </c>
      <c r="B30" s="10" t="str">
        <f>"54492023070210404393215"</f>
        <v>54492023070210404393215</v>
      </c>
      <c r="C30" s="10" t="s">
        <v>7</v>
      </c>
      <c r="D30" s="10" t="str">
        <f>"羊明珠"</f>
        <v>羊明珠</v>
      </c>
      <c r="E30" s="10" t="str">
        <f t="shared" si="0"/>
        <v>女</v>
      </c>
      <c r="F30" s="10"/>
    </row>
    <row r="31" spans="1:6" ht="34.5" customHeight="1">
      <c r="A31" s="9">
        <v>29</v>
      </c>
      <c r="B31" s="10" t="str">
        <f>"54492023070214510293849"</f>
        <v>54492023070214510293849</v>
      </c>
      <c r="C31" s="10" t="s">
        <v>7</v>
      </c>
      <c r="D31" s="10" t="str">
        <f>"邓婉靖"</f>
        <v>邓婉靖</v>
      </c>
      <c r="E31" s="10" t="str">
        <f t="shared" si="0"/>
        <v>女</v>
      </c>
      <c r="F31" s="10"/>
    </row>
    <row r="32" spans="1:6" ht="34.5" customHeight="1">
      <c r="A32" s="9">
        <v>30</v>
      </c>
      <c r="B32" s="10" t="str">
        <f>"54492023070213125193611"</f>
        <v>54492023070213125193611</v>
      </c>
      <c r="C32" s="10" t="s">
        <v>7</v>
      </c>
      <c r="D32" s="10" t="str">
        <f>"司晓晓"</f>
        <v>司晓晓</v>
      </c>
      <c r="E32" s="10" t="str">
        <f t="shared" si="0"/>
        <v>女</v>
      </c>
      <c r="F32" s="10"/>
    </row>
    <row r="33" spans="1:6" ht="34.5" customHeight="1">
      <c r="A33" s="9">
        <v>31</v>
      </c>
      <c r="B33" s="10" t="str">
        <f>"54492023070213453093686"</f>
        <v>54492023070213453093686</v>
      </c>
      <c r="C33" s="10" t="s">
        <v>7</v>
      </c>
      <c r="D33" s="10" t="str">
        <f>"唐海文"</f>
        <v>唐海文</v>
      </c>
      <c r="E33" s="10" t="str">
        <f t="shared" si="0"/>
        <v>女</v>
      </c>
      <c r="F33" s="10"/>
    </row>
    <row r="34" spans="1:6" ht="34.5" customHeight="1">
      <c r="A34" s="9">
        <v>32</v>
      </c>
      <c r="B34" s="10" t="str">
        <f>"54492023070208542892942"</f>
        <v>54492023070208542892942</v>
      </c>
      <c r="C34" s="10" t="s">
        <v>7</v>
      </c>
      <c r="D34" s="10" t="str">
        <f>"唐丹梅"</f>
        <v>唐丹梅</v>
      </c>
      <c r="E34" s="10" t="str">
        <f t="shared" si="0"/>
        <v>女</v>
      </c>
      <c r="F34" s="10"/>
    </row>
    <row r="35" spans="1:6" ht="34.5" customHeight="1">
      <c r="A35" s="9">
        <v>33</v>
      </c>
      <c r="B35" s="10" t="str">
        <f>"54492023070216093494029"</f>
        <v>54492023070216093494029</v>
      </c>
      <c r="C35" s="10" t="s">
        <v>7</v>
      </c>
      <c r="D35" s="10" t="str">
        <f>"陈佳莹"</f>
        <v>陈佳莹</v>
      </c>
      <c r="E35" s="10" t="str">
        <f t="shared" si="0"/>
        <v>女</v>
      </c>
      <c r="F35" s="10"/>
    </row>
    <row r="36" spans="1:6" ht="34.5" customHeight="1">
      <c r="A36" s="9">
        <v>34</v>
      </c>
      <c r="B36" s="10" t="str">
        <f>"54492023070216242194078"</f>
        <v>54492023070216242194078</v>
      </c>
      <c r="C36" s="10" t="s">
        <v>7</v>
      </c>
      <c r="D36" s="10" t="str">
        <f>"陈冰冰"</f>
        <v>陈冰冰</v>
      </c>
      <c r="E36" s="10" t="str">
        <f t="shared" si="0"/>
        <v>女</v>
      </c>
      <c r="F36" s="10"/>
    </row>
    <row r="37" spans="1:6" ht="34.5" customHeight="1">
      <c r="A37" s="9">
        <v>35</v>
      </c>
      <c r="B37" s="10" t="str">
        <f>"54492023070216403194118"</f>
        <v>54492023070216403194118</v>
      </c>
      <c r="C37" s="10" t="s">
        <v>7</v>
      </c>
      <c r="D37" s="10" t="str">
        <f>"陈洁"</f>
        <v>陈洁</v>
      </c>
      <c r="E37" s="10" t="str">
        <f t="shared" si="0"/>
        <v>女</v>
      </c>
      <c r="F37" s="10" t="str">
        <f>"身份证后四位为4427"</f>
        <v>身份证后四位为4427</v>
      </c>
    </row>
    <row r="38" spans="1:6" ht="34.5" customHeight="1">
      <c r="A38" s="9">
        <v>36</v>
      </c>
      <c r="B38" s="10" t="str">
        <f>"54492023070217221894214"</f>
        <v>54492023070217221894214</v>
      </c>
      <c r="C38" s="10" t="s">
        <v>7</v>
      </c>
      <c r="D38" s="10" t="str">
        <f>"黎美青"</f>
        <v>黎美青</v>
      </c>
      <c r="E38" s="10" t="str">
        <f t="shared" si="0"/>
        <v>女</v>
      </c>
      <c r="F38" s="10"/>
    </row>
    <row r="39" spans="1:6" ht="34.5" customHeight="1">
      <c r="A39" s="9">
        <v>37</v>
      </c>
      <c r="B39" s="10" t="str">
        <f>"54492023070217480894274"</f>
        <v>54492023070217480894274</v>
      </c>
      <c r="C39" s="10" t="s">
        <v>7</v>
      </c>
      <c r="D39" s="10" t="str">
        <f>"符锡垦"</f>
        <v>符锡垦</v>
      </c>
      <c r="E39" s="10" t="str">
        <f t="shared" si="0"/>
        <v>女</v>
      </c>
      <c r="F39" s="10"/>
    </row>
    <row r="40" spans="1:6" ht="34.5" customHeight="1">
      <c r="A40" s="9">
        <v>38</v>
      </c>
      <c r="B40" s="10" t="str">
        <f>"54492023070218041394299"</f>
        <v>54492023070218041394299</v>
      </c>
      <c r="C40" s="10" t="s">
        <v>7</v>
      </c>
      <c r="D40" s="10" t="str">
        <f>"杨紫云"</f>
        <v>杨紫云</v>
      </c>
      <c r="E40" s="10" t="str">
        <f t="shared" si="0"/>
        <v>女</v>
      </c>
      <c r="F40" s="10"/>
    </row>
    <row r="41" spans="1:6" ht="34.5" customHeight="1">
      <c r="A41" s="9">
        <v>39</v>
      </c>
      <c r="B41" s="10" t="str">
        <f>"54492023070218195894334"</f>
        <v>54492023070218195894334</v>
      </c>
      <c r="C41" s="10" t="s">
        <v>7</v>
      </c>
      <c r="D41" s="10" t="str">
        <f>"吴泽瑾"</f>
        <v>吴泽瑾</v>
      </c>
      <c r="E41" s="10" t="str">
        <f t="shared" si="0"/>
        <v>女</v>
      </c>
      <c r="F41" s="10"/>
    </row>
    <row r="42" spans="1:6" ht="34.5" customHeight="1">
      <c r="A42" s="9">
        <v>40</v>
      </c>
      <c r="B42" s="10" t="str">
        <f>"54492023070217203394208"</f>
        <v>54492023070217203394208</v>
      </c>
      <c r="C42" s="10" t="s">
        <v>7</v>
      </c>
      <c r="D42" s="10" t="str">
        <f>"王玫"</f>
        <v>王玫</v>
      </c>
      <c r="E42" s="10" t="str">
        <f t="shared" si="0"/>
        <v>女</v>
      </c>
      <c r="F42" s="10"/>
    </row>
    <row r="43" spans="1:6" ht="34.5" customHeight="1">
      <c r="A43" s="9">
        <v>41</v>
      </c>
      <c r="B43" s="10" t="str">
        <f>"54492023070218430494374"</f>
        <v>54492023070218430494374</v>
      </c>
      <c r="C43" s="10" t="s">
        <v>7</v>
      </c>
      <c r="D43" s="10" t="str">
        <f>"杜盼"</f>
        <v>杜盼</v>
      </c>
      <c r="E43" s="10" t="str">
        <f t="shared" si="0"/>
        <v>女</v>
      </c>
      <c r="F43" s="10"/>
    </row>
    <row r="44" spans="1:6" ht="34.5" customHeight="1">
      <c r="A44" s="9">
        <v>42</v>
      </c>
      <c r="B44" s="10" t="str">
        <f>"54492023070215570294001"</f>
        <v>54492023070215570294001</v>
      </c>
      <c r="C44" s="10" t="s">
        <v>7</v>
      </c>
      <c r="D44" s="10" t="str">
        <f>"张晓阳"</f>
        <v>张晓阳</v>
      </c>
      <c r="E44" s="10" t="str">
        <f t="shared" si="0"/>
        <v>女</v>
      </c>
      <c r="F44" s="10"/>
    </row>
    <row r="45" spans="1:6" ht="34.5" customHeight="1">
      <c r="A45" s="9">
        <v>43</v>
      </c>
      <c r="B45" s="10" t="str">
        <f>"54492023070218594094398"</f>
        <v>54492023070218594094398</v>
      </c>
      <c r="C45" s="10" t="s">
        <v>7</v>
      </c>
      <c r="D45" s="10" t="str">
        <f>"李馨荷"</f>
        <v>李馨荷</v>
      </c>
      <c r="E45" s="10" t="str">
        <f t="shared" si="0"/>
        <v>女</v>
      </c>
      <c r="F45" s="10"/>
    </row>
    <row r="46" spans="1:6" ht="34.5" customHeight="1">
      <c r="A46" s="9">
        <v>44</v>
      </c>
      <c r="B46" s="10" t="str">
        <f>"54492023070218374294363"</f>
        <v>54492023070218374294363</v>
      </c>
      <c r="C46" s="10" t="s">
        <v>7</v>
      </c>
      <c r="D46" s="10" t="str">
        <f>"姚虹"</f>
        <v>姚虹</v>
      </c>
      <c r="E46" s="10" t="str">
        <f t="shared" si="0"/>
        <v>女</v>
      </c>
      <c r="F46" s="10"/>
    </row>
    <row r="47" spans="1:6" ht="34.5" customHeight="1">
      <c r="A47" s="9">
        <v>45</v>
      </c>
      <c r="B47" s="10" t="str">
        <f>"54492023070215030593875"</f>
        <v>54492023070215030593875</v>
      </c>
      <c r="C47" s="10" t="s">
        <v>7</v>
      </c>
      <c r="D47" s="10" t="str">
        <f>"陈玉兰"</f>
        <v>陈玉兰</v>
      </c>
      <c r="E47" s="10" t="str">
        <f t="shared" si="0"/>
        <v>女</v>
      </c>
      <c r="F47" s="10"/>
    </row>
    <row r="48" spans="1:6" ht="34.5" customHeight="1">
      <c r="A48" s="9">
        <v>46</v>
      </c>
      <c r="B48" s="10" t="str">
        <f>"54492023070220030294523"</f>
        <v>54492023070220030294523</v>
      </c>
      <c r="C48" s="10" t="s">
        <v>7</v>
      </c>
      <c r="D48" s="10" t="str">
        <f>"刘玉珍"</f>
        <v>刘玉珍</v>
      </c>
      <c r="E48" s="10" t="str">
        <f t="shared" si="0"/>
        <v>女</v>
      </c>
      <c r="F48" s="10"/>
    </row>
    <row r="49" spans="1:6" ht="34.5" customHeight="1">
      <c r="A49" s="9">
        <v>47</v>
      </c>
      <c r="B49" s="10" t="str">
        <f>"54492023070220034794525"</f>
        <v>54492023070220034794525</v>
      </c>
      <c r="C49" s="10" t="s">
        <v>7</v>
      </c>
      <c r="D49" s="10" t="str">
        <f>"郭玲珠"</f>
        <v>郭玲珠</v>
      </c>
      <c r="E49" s="10" t="str">
        <f t="shared" si="0"/>
        <v>女</v>
      </c>
      <c r="F49" s="10"/>
    </row>
    <row r="50" spans="1:6" ht="34.5" customHeight="1">
      <c r="A50" s="9">
        <v>48</v>
      </c>
      <c r="B50" s="10" t="str">
        <f>"54492023070220004494518"</f>
        <v>54492023070220004494518</v>
      </c>
      <c r="C50" s="10" t="s">
        <v>7</v>
      </c>
      <c r="D50" s="10" t="str">
        <f>"王腾雪"</f>
        <v>王腾雪</v>
      </c>
      <c r="E50" s="10" t="str">
        <f t="shared" si="0"/>
        <v>女</v>
      </c>
      <c r="F50" s="10"/>
    </row>
    <row r="51" spans="1:6" ht="34.5" customHeight="1">
      <c r="A51" s="9">
        <v>49</v>
      </c>
      <c r="B51" s="10" t="str">
        <f>"54492023070220203494552"</f>
        <v>54492023070220203494552</v>
      </c>
      <c r="C51" s="10" t="s">
        <v>7</v>
      </c>
      <c r="D51" s="10" t="str">
        <f>"邢顾萍"</f>
        <v>邢顾萍</v>
      </c>
      <c r="E51" s="10" t="str">
        <f t="shared" si="0"/>
        <v>女</v>
      </c>
      <c r="F51" s="10"/>
    </row>
    <row r="52" spans="1:6" ht="34.5" customHeight="1">
      <c r="A52" s="9">
        <v>50</v>
      </c>
      <c r="B52" s="10" t="str">
        <f>"54492023070220233794563"</f>
        <v>54492023070220233794563</v>
      </c>
      <c r="C52" s="10" t="s">
        <v>7</v>
      </c>
      <c r="D52" s="10" t="str">
        <f>"韩嫚"</f>
        <v>韩嫚</v>
      </c>
      <c r="E52" s="10" t="str">
        <f t="shared" si="0"/>
        <v>女</v>
      </c>
      <c r="F52" s="10"/>
    </row>
    <row r="53" spans="1:6" ht="34.5" customHeight="1">
      <c r="A53" s="9">
        <v>51</v>
      </c>
      <c r="B53" s="10" t="str">
        <f>"54492023070220330794595"</f>
        <v>54492023070220330794595</v>
      </c>
      <c r="C53" s="10" t="s">
        <v>7</v>
      </c>
      <c r="D53" s="10" t="str">
        <f>"杨小丹"</f>
        <v>杨小丹</v>
      </c>
      <c r="E53" s="10" t="str">
        <f t="shared" si="0"/>
        <v>女</v>
      </c>
      <c r="F53" s="10"/>
    </row>
    <row r="54" spans="1:6" ht="34.5" customHeight="1">
      <c r="A54" s="9">
        <v>52</v>
      </c>
      <c r="B54" s="10" t="str">
        <f>"54492023070220394794609"</f>
        <v>54492023070220394794609</v>
      </c>
      <c r="C54" s="10" t="s">
        <v>7</v>
      </c>
      <c r="D54" s="10" t="str">
        <f>"邢增菊"</f>
        <v>邢增菊</v>
      </c>
      <c r="E54" s="10" t="str">
        <f t="shared" si="0"/>
        <v>女</v>
      </c>
      <c r="F54" s="10"/>
    </row>
    <row r="55" spans="1:6" ht="34.5" customHeight="1">
      <c r="A55" s="9">
        <v>53</v>
      </c>
      <c r="B55" s="10" t="str">
        <f>"54492023070220452094623"</f>
        <v>54492023070220452094623</v>
      </c>
      <c r="C55" s="10" t="s">
        <v>7</v>
      </c>
      <c r="D55" s="10" t="str">
        <f>"卢璇"</f>
        <v>卢璇</v>
      </c>
      <c r="E55" s="10" t="str">
        <f t="shared" si="0"/>
        <v>女</v>
      </c>
      <c r="F55" s="10"/>
    </row>
    <row r="56" spans="1:6" ht="34.5" customHeight="1">
      <c r="A56" s="9">
        <v>54</v>
      </c>
      <c r="B56" s="10" t="str">
        <f>"54492023070208592692954"</f>
        <v>54492023070208592692954</v>
      </c>
      <c r="C56" s="10" t="s">
        <v>7</v>
      </c>
      <c r="D56" s="10" t="str">
        <f>"刘妍"</f>
        <v>刘妍</v>
      </c>
      <c r="E56" s="10" t="str">
        <f t="shared" si="0"/>
        <v>女</v>
      </c>
      <c r="F56" s="10"/>
    </row>
    <row r="57" spans="1:6" ht="34.5" customHeight="1">
      <c r="A57" s="9">
        <v>55</v>
      </c>
      <c r="B57" s="10" t="str">
        <f>"54492023070210230193150"</f>
        <v>54492023070210230193150</v>
      </c>
      <c r="C57" s="10" t="s">
        <v>7</v>
      </c>
      <c r="D57" s="10" t="str">
        <f>"林荟"</f>
        <v>林荟</v>
      </c>
      <c r="E57" s="10" t="str">
        <f t="shared" si="0"/>
        <v>女</v>
      </c>
      <c r="F57" s="10"/>
    </row>
    <row r="58" spans="1:6" ht="34.5" customHeight="1">
      <c r="A58" s="9">
        <v>56</v>
      </c>
      <c r="B58" s="10" t="str">
        <f>"54492023070221155094716"</f>
        <v>54492023070221155094716</v>
      </c>
      <c r="C58" s="10" t="s">
        <v>7</v>
      </c>
      <c r="D58" s="10" t="str">
        <f>"陈夏惠"</f>
        <v>陈夏惠</v>
      </c>
      <c r="E58" s="10" t="str">
        <f t="shared" si="0"/>
        <v>女</v>
      </c>
      <c r="F58" s="10"/>
    </row>
    <row r="59" spans="1:6" ht="34.5" customHeight="1">
      <c r="A59" s="9">
        <v>57</v>
      </c>
      <c r="B59" s="10" t="str">
        <f>"54492023070220465494630"</f>
        <v>54492023070220465494630</v>
      </c>
      <c r="C59" s="10" t="s">
        <v>7</v>
      </c>
      <c r="D59" s="10" t="str">
        <f>"贾敏"</f>
        <v>贾敏</v>
      </c>
      <c r="E59" s="10" t="str">
        <f t="shared" si="0"/>
        <v>女</v>
      </c>
      <c r="F59" s="10"/>
    </row>
    <row r="60" spans="1:6" ht="34.5" customHeight="1">
      <c r="A60" s="9">
        <v>58</v>
      </c>
      <c r="B60" s="10" t="str">
        <f>"54492023070221522994829"</f>
        <v>54492023070221522994829</v>
      </c>
      <c r="C60" s="10" t="s">
        <v>7</v>
      </c>
      <c r="D60" s="10" t="str">
        <f>"蒲贝贝"</f>
        <v>蒲贝贝</v>
      </c>
      <c r="E60" s="10" t="str">
        <f t="shared" si="0"/>
        <v>女</v>
      </c>
      <c r="F60" s="10"/>
    </row>
    <row r="61" spans="1:6" ht="34.5" customHeight="1">
      <c r="A61" s="9">
        <v>59</v>
      </c>
      <c r="B61" s="10" t="str">
        <f>"54492023070221502594823"</f>
        <v>54492023070221502594823</v>
      </c>
      <c r="C61" s="10" t="s">
        <v>7</v>
      </c>
      <c r="D61" s="10" t="str">
        <f>"刘晓培"</f>
        <v>刘晓培</v>
      </c>
      <c r="E61" s="10" t="str">
        <f t="shared" si="0"/>
        <v>女</v>
      </c>
      <c r="F61" s="10"/>
    </row>
    <row r="62" spans="1:6" ht="34.5" customHeight="1">
      <c r="A62" s="9">
        <v>60</v>
      </c>
      <c r="B62" s="10" t="str">
        <f>"54492023070222244394924"</f>
        <v>54492023070222244394924</v>
      </c>
      <c r="C62" s="10" t="s">
        <v>7</v>
      </c>
      <c r="D62" s="10" t="str">
        <f>"杜菲玲"</f>
        <v>杜菲玲</v>
      </c>
      <c r="E62" s="10" t="str">
        <f t="shared" si="0"/>
        <v>女</v>
      </c>
      <c r="F62" s="10"/>
    </row>
    <row r="63" spans="1:6" ht="34.5" customHeight="1">
      <c r="A63" s="9">
        <v>61</v>
      </c>
      <c r="B63" s="10" t="str">
        <f>"54492023070222435294979"</f>
        <v>54492023070222435294979</v>
      </c>
      <c r="C63" s="10" t="s">
        <v>7</v>
      </c>
      <c r="D63" s="10" t="str">
        <f>"王玲兰"</f>
        <v>王玲兰</v>
      </c>
      <c r="E63" s="10" t="str">
        <f t="shared" si="0"/>
        <v>女</v>
      </c>
      <c r="F63" s="10"/>
    </row>
    <row r="64" spans="1:6" ht="34.5" customHeight="1">
      <c r="A64" s="9">
        <v>62</v>
      </c>
      <c r="B64" s="10" t="str">
        <f>"54492023070223424495097"</f>
        <v>54492023070223424495097</v>
      </c>
      <c r="C64" s="10" t="s">
        <v>7</v>
      </c>
      <c r="D64" s="10" t="str">
        <f>"李春儒"</f>
        <v>李春儒</v>
      </c>
      <c r="E64" s="10" t="str">
        <f t="shared" si="0"/>
        <v>女</v>
      </c>
      <c r="F64" s="10"/>
    </row>
    <row r="65" spans="1:6" ht="34.5" customHeight="1">
      <c r="A65" s="9">
        <v>63</v>
      </c>
      <c r="B65" s="10" t="str">
        <f>"54492023070223291295075"</f>
        <v>54492023070223291295075</v>
      </c>
      <c r="C65" s="10" t="s">
        <v>7</v>
      </c>
      <c r="D65" s="10" t="str">
        <f>"黄玉春"</f>
        <v>黄玉春</v>
      </c>
      <c r="E65" s="10" t="str">
        <f t="shared" si="0"/>
        <v>女</v>
      </c>
      <c r="F65" s="10"/>
    </row>
    <row r="66" spans="1:6" ht="34.5" customHeight="1">
      <c r="A66" s="9">
        <v>64</v>
      </c>
      <c r="B66" s="10" t="str">
        <f>"54492023070302211695207"</f>
        <v>54492023070302211695207</v>
      </c>
      <c r="C66" s="10" t="s">
        <v>7</v>
      </c>
      <c r="D66" s="10" t="str">
        <f>"林金丽"</f>
        <v>林金丽</v>
      </c>
      <c r="E66" s="10" t="str">
        <f t="shared" si="0"/>
        <v>女</v>
      </c>
      <c r="F66" s="10"/>
    </row>
    <row r="67" spans="1:6" ht="34.5" customHeight="1">
      <c r="A67" s="9">
        <v>65</v>
      </c>
      <c r="B67" s="10" t="str">
        <f>"54492023070307051495230"</f>
        <v>54492023070307051495230</v>
      </c>
      <c r="C67" s="10" t="s">
        <v>7</v>
      </c>
      <c r="D67" s="10" t="str">
        <f>"谢欢"</f>
        <v>谢欢</v>
      </c>
      <c r="E67" s="10" t="str">
        <f t="shared" si="0"/>
        <v>女</v>
      </c>
      <c r="F67" s="10" t="str">
        <f>"身份证后四位为0901"</f>
        <v>身份证后四位为0901</v>
      </c>
    </row>
    <row r="68" spans="1:6" ht="34.5" customHeight="1">
      <c r="A68" s="9">
        <v>66</v>
      </c>
      <c r="B68" s="10" t="str">
        <f>"54492023070308010595273"</f>
        <v>54492023070308010595273</v>
      </c>
      <c r="C68" s="10" t="s">
        <v>7</v>
      </c>
      <c r="D68" s="10" t="str">
        <f>"何颖"</f>
        <v>何颖</v>
      </c>
      <c r="E68" s="10" t="str">
        <f t="shared" si="0"/>
        <v>女</v>
      </c>
      <c r="F68" s="10"/>
    </row>
    <row r="69" spans="1:6" ht="34.5" customHeight="1">
      <c r="A69" s="9">
        <v>67</v>
      </c>
      <c r="B69" s="10" t="str">
        <f>"54492023070308175895294"</f>
        <v>54492023070308175895294</v>
      </c>
      <c r="C69" s="10" t="s">
        <v>7</v>
      </c>
      <c r="D69" s="10" t="str">
        <f>"文小静"</f>
        <v>文小静</v>
      </c>
      <c r="E69" s="10" t="str">
        <f t="shared" si="0"/>
        <v>女</v>
      </c>
      <c r="F69" s="10"/>
    </row>
    <row r="70" spans="1:6" ht="34.5" customHeight="1">
      <c r="A70" s="9">
        <v>68</v>
      </c>
      <c r="B70" s="10" t="str">
        <f>"54492023070308560695414"</f>
        <v>54492023070308560695414</v>
      </c>
      <c r="C70" s="10" t="s">
        <v>7</v>
      </c>
      <c r="D70" s="10" t="str">
        <f>"邢雅钤"</f>
        <v>邢雅钤</v>
      </c>
      <c r="E70" s="10" t="str">
        <f aca="true" t="shared" si="1" ref="E70:E87">"女"</f>
        <v>女</v>
      </c>
      <c r="F70" s="10"/>
    </row>
    <row r="71" spans="1:6" ht="34.5" customHeight="1">
      <c r="A71" s="9">
        <v>69</v>
      </c>
      <c r="B71" s="10" t="str">
        <f>"54492023070309062595539"</f>
        <v>54492023070309062595539</v>
      </c>
      <c r="C71" s="10" t="s">
        <v>7</v>
      </c>
      <c r="D71" s="10" t="str">
        <f>"张其菊"</f>
        <v>张其菊</v>
      </c>
      <c r="E71" s="10" t="str">
        <f t="shared" si="1"/>
        <v>女</v>
      </c>
      <c r="F71" s="10"/>
    </row>
    <row r="72" spans="1:6" ht="34.5" customHeight="1">
      <c r="A72" s="9">
        <v>70</v>
      </c>
      <c r="B72" s="10" t="str">
        <f>"54492023070309070095552"</f>
        <v>54492023070309070095552</v>
      </c>
      <c r="C72" s="10" t="s">
        <v>7</v>
      </c>
      <c r="D72" s="10" t="str">
        <f>"翟宏柳"</f>
        <v>翟宏柳</v>
      </c>
      <c r="E72" s="10" t="str">
        <f t="shared" si="1"/>
        <v>女</v>
      </c>
      <c r="F72" s="10"/>
    </row>
    <row r="73" spans="1:6" ht="34.5" customHeight="1">
      <c r="A73" s="9">
        <v>71</v>
      </c>
      <c r="B73" s="10" t="str">
        <f>"54492023070308425295370"</f>
        <v>54492023070308425295370</v>
      </c>
      <c r="C73" s="10" t="s">
        <v>7</v>
      </c>
      <c r="D73" s="10" t="str">
        <f>"秦美玲"</f>
        <v>秦美玲</v>
      </c>
      <c r="E73" s="10" t="str">
        <f t="shared" si="1"/>
        <v>女</v>
      </c>
      <c r="F73" s="10"/>
    </row>
    <row r="74" spans="1:6" ht="34.5" customHeight="1">
      <c r="A74" s="9">
        <v>72</v>
      </c>
      <c r="B74" s="10" t="str">
        <f>"54492023070309002795430"</f>
        <v>54492023070309002795430</v>
      </c>
      <c r="C74" s="10" t="s">
        <v>7</v>
      </c>
      <c r="D74" s="10" t="str">
        <f>"王惠"</f>
        <v>王惠</v>
      </c>
      <c r="E74" s="10" t="str">
        <f t="shared" si="1"/>
        <v>女</v>
      </c>
      <c r="F74" s="10" t="str">
        <f>"身份证后四位为094X"</f>
        <v>身份证后四位为094X</v>
      </c>
    </row>
    <row r="75" spans="1:6" ht="34.5" customHeight="1">
      <c r="A75" s="9">
        <v>73</v>
      </c>
      <c r="B75" s="10" t="str">
        <f>"54492023070308301195324"</f>
        <v>54492023070308301195324</v>
      </c>
      <c r="C75" s="10" t="s">
        <v>7</v>
      </c>
      <c r="D75" s="10" t="str">
        <f>"王来凤"</f>
        <v>王来凤</v>
      </c>
      <c r="E75" s="10" t="str">
        <f t="shared" si="1"/>
        <v>女</v>
      </c>
      <c r="F75" s="10"/>
    </row>
    <row r="76" spans="1:6" ht="34.5" customHeight="1">
      <c r="A76" s="9">
        <v>74</v>
      </c>
      <c r="B76" s="10" t="str">
        <f>"54492023070309355895831"</f>
        <v>54492023070309355895831</v>
      </c>
      <c r="C76" s="10" t="s">
        <v>7</v>
      </c>
      <c r="D76" s="10" t="str">
        <f>"吴育芬"</f>
        <v>吴育芬</v>
      </c>
      <c r="E76" s="10" t="str">
        <f t="shared" si="1"/>
        <v>女</v>
      </c>
      <c r="F76" s="10"/>
    </row>
    <row r="77" spans="1:6" ht="34.5" customHeight="1">
      <c r="A77" s="9">
        <v>75</v>
      </c>
      <c r="B77" s="10" t="str">
        <f>"54492023070308150595291"</f>
        <v>54492023070308150595291</v>
      </c>
      <c r="C77" s="10" t="s">
        <v>7</v>
      </c>
      <c r="D77" s="10" t="str">
        <f>"张钰涵"</f>
        <v>张钰涵</v>
      </c>
      <c r="E77" s="10" t="str">
        <f t="shared" si="1"/>
        <v>女</v>
      </c>
      <c r="F77" s="10"/>
    </row>
    <row r="78" spans="1:6" ht="34.5" customHeight="1">
      <c r="A78" s="9">
        <v>76</v>
      </c>
      <c r="B78" s="10" t="str">
        <f>"54492023070309421095897"</f>
        <v>54492023070309421095897</v>
      </c>
      <c r="C78" s="10" t="s">
        <v>7</v>
      </c>
      <c r="D78" s="10" t="str">
        <f>"黄悦"</f>
        <v>黄悦</v>
      </c>
      <c r="E78" s="10" t="str">
        <f t="shared" si="1"/>
        <v>女</v>
      </c>
      <c r="F78" s="10"/>
    </row>
    <row r="79" spans="1:6" ht="34.5" customHeight="1">
      <c r="A79" s="9">
        <v>77</v>
      </c>
      <c r="B79" s="10" t="str">
        <f>"54492023070310074996118"</f>
        <v>54492023070310074996118</v>
      </c>
      <c r="C79" s="10" t="s">
        <v>7</v>
      </c>
      <c r="D79" s="10" t="str">
        <f>"陈洁"</f>
        <v>陈洁</v>
      </c>
      <c r="E79" s="10" t="str">
        <f t="shared" si="1"/>
        <v>女</v>
      </c>
      <c r="F79" s="10" t="str">
        <f>"身份证后四位为3607"</f>
        <v>身份证后四位为3607</v>
      </c>
    </row>
    <row r="80" spans="1:6" ht="34.5" customHeight="1">
      <c r="A80" s="9">
        <v>78</v>
      </c>
      <c r="B80" s="10" t="str">
        <f>"54492023070310191896199"</f>
        <v>54492023070310191896199</v>
      </c>
      <c r="C80" s="10" t="s">
        <v>7</v>
      </c>
      <c r="D80" s="10" t="str">
        <f>"符小丽"</f>
        <v>符小丽</v>
      </c>
      <c r="E80" s="10" t="str">
        <f t="shared" si="1"/>
        <v>女</v>
      </c>
      <c r="F80" s="10"/>
    </row>
    <row r="81" spans="1:6" ht="34.5" customHeight="1">
      <c r="A81" s="9">
        <v>79</v>
      </c>
      <c r="B81" s="10" t="str">
        <f>"54492023070212580193573"</f>
        <v>54492023070212580193573</v>
      </c>
      <c r="C81" s="10" t="s">
        <v>7</v>
      </c>
      <c r="D81" s="10" t="str">
        <f>"余瑄"</f>
        <v>余瑄</v>
      </c>
      <c r="E81" s="10" t="str">
        <f t="shared" si="1"/>
        <v>女</v>
      </c>
      <c r="F81" s="10"/>
    </row>
    <row r="82" spans="1:6" ht="34.5" customHeight="1">
      <c r="A82" s="9">
        <v>80</v>
      </c>
      <c r="B82" s="10" t="str">
        <f>"54492023070310184696196"</f>
        <v>54492023070310184696196</v>
      </c>
      <c r="C82" s="10" t="s">
        <v>7</v>
      </c>
      <c r="D82" s="10" t="str">
        <f>"黎燕"</f>
        <v>黎燕</v>
      </c>
      <c r="E82" s="10" t="str">
        <f t="shared" si="1"/>
        <v>女</v>
      </c>
      <c r="F82" s="10"/>
    </row>
    <row r="83" spans="1:6" ht="34.5" customHeight="1">
      <c r="A83" s="9">
        <v>81</v>
      </c>
      <c r="B83" s="10" t="str">
        <f>"54492023070310505396452"</f>
        <v>54492023070310505396452</v>
      </c>
      <c r="C83" s="10" t="s">
        <v>7</v>
      </c>
      <c r="D83" s="10" t="str">
        <f>"冯淑钰"</f>
        <v>冯淑钰</v>
      </c>
      <c r="E83" s="10" t="str">
        <f t="shared" si="1"/>
        <v>女</v>
      </c>
      <c r="F83" s="10"/>
    </row>
    <row r="84" spans="1:6" ht="34.5" customHeight="1">
      <c r="A84" s="9">
        <v>82</v>
      </c>
      <c r="B84" s="10" t="str">
        <f>"54492023070310485296437"</f>
        <v>54492023070310485296437</v>
      </c>
      <c r="C84" s="10" t="s">
        <v>7</v>
      </c>
      <c r="D84" s="10" t="str">
        <f>"黄诗婷"</f>
        <v>黄诗婷</v>
      </c>
      <c r="E84" s="10" t="str">
        <f t="shared" si="1"/>
        <v>女</v>
      </c>
      <c r="F84" s="10"/>
    </row>
    <row r="85" spans="1:6" ht="34.5" customHeight="1">
      <c r="A85" s="9">
        <v>83</v>
      </c>
      <c r="B85" s="10" t="str">
        <f>"54492023070310223596224"</f>
        <v>54492023070310223596224</v>
      </c>
      <c r="C85" s="10" t="s">
        <v>7</v>
      </c>
      <c r="D85" s="10" t="str">
        <f>"王迷尔"</f>
        <v>王迷尔</v>
      </c>
      <c r="E85" s="10" t="str">
        <f t="shared" si="1"/>
        <v>女</v>
      </c>
      <c r="F85" s="10"/>
    </row>
    <row r="86" spans="1:6" ht="34.5" customHeight="1">
      <c r="A86" s="9">
        <v>84</v>
      </c>
      <c r="B86" s="10" t="str">
        <f>"54492023070310191296197"</f>
        <v>54492023070310191296197</v>
      </c>
      <c r="C86" s="10" t="s">
        <v>7</v>
      </c>
      <c r="D86" s="10" t="str">
        <f>"文一娇"</f>
        <v>文一娇</v>
      </c>
      <c r="E86" s="10" t="str">
        <f t="shared" si="1"/>
        <v>女</v>
      </c>
      <c r="F86" s="10"/>
    </row>
    <row r="87" spans="1:6" ht="34.5" customHeight="1">
      <c r="A87" s="9">
        <v>85</v>
      </c>
      <c r="B87" s="10" t="str">
        <f>"54492023070311211096665"</f>
        <v>54492023070311211096665</v>
      </c>
      <c r="C87" s="10" t="s">
        <v>7</v>
      </c>
      <c r="D87" s="10" t="str">
        <f>"毛冬花"</f>
        <v>毛冬花</v>
      </c>
      <c r="E87" s="10" t="str">
        <f t="shared" si="1"/>
        <v>女</v>
      </c>
      <c r="F87" s="10"/>
    </row>
    <row r="88" spans="1:6" ht="34.5" customHeight="1">
      <c r="A88" s="9">
        <v>86</v>
      </c>
      <c r="B88" s="10" t="str">
        <f>"54492023070211084793295"</f>
        <v>54492023070211084793295</v>
      </c>
      <c r="C88" s="10" t="s">
        <v>7</v>
      </c>
      <c r="D88" s="10" t="str">
        <f>"陈平国"</f>
        <v>陈平国</v>
      </c>
      <c r="E88" s="10" t="str">
        <f>"男"</f>
        <v>男</v>
      </c>
      <c r="F88" s="10"/>
    </row>
    <row r="89" spans="1:6" ht="34.5" customHeight="1">
      <c r="A89" s="9">
        <v>87</v>
      </c>
      <c r="B89" s="10" t="str">
        <f>"54492023070311452896813"</f>
        <v>54492023070311452896813</v>
      </c>
      <c r="C89" s="10" t="s">
        <v>7</v>
      </c>
      <c r="D89" s="10" t="str">
        <f>"王芳婷"</f>
        <v>王芳婷</v>
      </c>
      <c r="E89" s="10" t="str">
        <f aca="true" t="shared" si="2" ref="E89:E102">"女"</f>
        <v>女</v>
      </c>
      <c r="F89" s="10"/>
    </row>
    <row r="90" spans="1:6" ht="34.5" customHeight="1">
      <c r="A90" s="9">
        <v>88</v>
      </c>
      <c r="B90" s="10" t="str">
        <f>"54492023070216045694018"</f>
        <v>54492023070216045694018</v>
      </c>
      <c r="C90" s="10" t="s">
        <v>7</v>
      </c>
      <c r="D90" s="10" t="str">
        <f>"林少云"</f>
        <v>林少云</v>
      </c>
      <c r="E90" s="10" t="str">
        <f t="shared" si="2"/>
        <v>女</v>
      </c>
      <c r="F90" s="10"/>
    </row>
    <row r="91" spans="1:6" ht="34.5" customHeight="1">
      <c r="A91" s="9">
        <v>89</v>
      </c>
      <c r="B91" s="10" t="str">
        <f>"54492023070311422996800"</f>
        <v>54492023070311422996800</v>
      </c>
      <c r="C91" s="10" t="s">
        <v>7</v>
      </c>
      <c r="D91" s="10" t="str">
        <f>"陈秀珍"</f>
        <v>陈秀珍</v>
      </c>
      <c r="E91" s="10" t="str">
        <f t="shared" si="2"/>
        <v>女</v>
      </c>
      <c r="F91" s="10"/>
    </row>
    <row r="92" spans="1:6" ht="34.5" customHeight="1">
      <c r="A92" s="9">
        <v>90</v>
      </c>
      <c r="B92" s="10" t="str">
        <f>"54492023070209144092980"</f>
        <v>54492023070209144092980</v>
      </c>
      <c r="C92" s="10" t="s">
        <v>7</v>
      </c>
      <c r="D92" s="10" t="str">
        <f>"李日红"</f>
        <v>李日红</v>
      </c>
      <c r="E92" s="10" t="str">
        <f t="shared" si="2"/>
        <v>女</v>
      </c>
      <c r="F92" s="10"/>
    </row>
    <row r="93" spans="1:6" ht="34.5" customHeight="1">
      <c r="A93" s="9">
        <v>91</v>
      </c>
      <c r="B93" s="10" t="str">
        <f>"54492023070216002694009"</f>
        <v>54492023070216002694009</v>
      </c>
      <c r="C93" s="10" t="s">
        <v>7</v>
      </c>
      <c r="D93" s="10" t="str">
        <f>"麦少珍"</f>
        <v>麦少珍</v>
      </c>
      <c r="E93" s="10" t="str">
        <f t="shared" si="2"/>
        <v>女</v>
      </c>
      <c r="F93" s="10"/>
    </row>
    <row r="94" spans="1:6" ht="34.5" customHeight="1">
      <c r="A94" s="9">
        <v>92</v>
      </c>
      <c r="B94" s="10" t="str">
        <f>"54492023070310325396303"</f>
        <v>54492023070310325396303</v>
      </c>
      <c r="C94" s="10" t="s">
        <v>7</v>
      </c>
      <c r="D94" s="10" t="str">
        <f>"邱枫"</f>
        <v>邱枫</v>
      </c>
      <c r="E94" s="10" t="str">
        <f t="shared" si="2"/>
        <v>女</v>
      </c>
      <c r="F94" s="10"/>
    </row>
    <row r="95" spans="1:6" ht="34.5" customHeight="1">
      <c r="A95" s="9">
        <v>93</v>
      </c>
      <c r="B95" s="10" t="str">
        <f>"54492023070312585597245"</f>
        <v>54492023070312585597245</v>
      </c>
      <c r="C95" s="10" t="s">
        <v>7</v>
      </c>
      <c r="D95" s="10" t="str">
        <f>"何明洲"</f>
        <v>何明洲</v>
      </c>
      <c r="E95" s="10" t="str">
        <f t="shared" si="2"/>
        <v>女</v>
      </c>
      <c r="F95" s="10"/>
    </row>
    <row r="96" spans="1:6" ht="34.5" customHeight="1">
      <c r="A96" s="9">
        <v>94</v>
      </c>
      <c r="B96" s="10" t="str">
        <f>"54492023070313041697285"</f>
        <v>54492023070313041697285</v>
      </c>
      <c r="C96" s="10" t="s">
        <v>7</v>
      </c>
      <c r="D96" s="10" t="str">
        <f>"黎兴芳"</f>
        <v>黎兴芳</v>
      </c>
      <c r="E96" s="10" t="str">
        <f t="shared" si="2"/>
        <v>女</v>
      </c>
      <c r="F96" s="10"/>
    </row>
    <row r="97" spans="1:6" ht="34.5" customHeight="1">
      <c r="A97" s="9">
        <v>95</v>
      </c>
      <c r="B97" s="10" t="str">
        <f>"54492023070310572096502"</f>
        <v>54492023070310572096502</v>
      </c>
      <c r="C97" s="10" t="s">
        <v>7</v>
      </c>
      <c r="D97" s="10" t="str">
        <f>"陈澳"</f>
        <v>陈澳</v>
      </c>
      <c r="E97" s="10" t="str">
        <f t="shared" si="2"/>
        <v>女</v>
      </c>
      <c r="F97" s="10"/>
    </row>
    <row r="98" spans="1:6" ht="34.5" customHeight="1">
      <c r="A98" s="9">
        <v>96</v>
      </c>
      <c r="B98" s="10" t="str">
        <f>"54492023070313215497379"</f>
        <v>54492023070313215497379</v>
      </c>
      <c r="C98" s="10" t="s">
        <v>7</v>
      </c>
      <c r="D98" s="10" t="str">
        <f>"李丽洁"</f>
        <v>李丽洁</v>
      </c>
      <c r="E98" s="10" t="str">
        <f t="shared" si="2"/>
        <v>女</v>
      </c>
      <c r="F98" s="10"/>
    </row>
    <row r="99" spans="1:6" ht="34.5" customHeight="1">
      <c r="A99" s="9">
        <v>97</v>
      </c>
      <c r="B99" s="10" t="str">
        <f>"54492023070222492294992"</f>
        <v>54492023070222492294992</v>
      </c>
      <c r="C99" s="10" t="s">
        <v>7</v>
      </c>
      <c r="D99" s="10" t="str">
        <f>"张修娟"</f>
        <v>张修娟</v>
      </c>
      <c r="E99" s="10" t="str">
        <f t="shared" si="2"/>
        <v>女</v>
      </c>
      <c r="F99" s="10"/>
    </row>
    <row r="100" spans="1:6" ht="34.5" customHeight="1">
      <c r="A100" s="9">
        <v>98</v>
      </c>
      <c r="B100" s="10" t="str">
        <f>"54492023070314182997574"</f>
        <v>54492023070314182997574</v>
      </c>
      <c r="C100" s="10" t="s">
        <v>7</v>
      </c>
      <c r="D100" s="10" t="str">
        <f>"黎传微"</f>
        <v>黎传微</v>
      </c>
      <c r="E100" s="10" t="str">
        <f t="shared" si="2"/>
        <v>女</v>
      </c>
      <c r="F100" s="10"/>
    </row>
    <row r="101" spans="1:6" ht="34.5" customHeight="1">
      <c r="A101" s="9">
        <v>99</v>
      </c>
      <c r="B101" s="10" t="str">
        <f>"54492023070310152696167"</f>
        <v>54492023070310152696167</v>
      </c>
      <c r="C101" s="10" t="s">
        <v>7</v>
      </c>
      <c r="D101" s="10" t="str">
        <f>"张彩瑶"</f>
        <v>张彩瑶</v>
      </c>
      <c r="E101" s="10" t="str">
        <f t="shared" si="2"/>
        <v>女</v>
      </c>
      <c r="F101" s="10"/>
    </row>
    <row r="102" spans="1:6" ht="34.5" customHeight="1">
      <c r="A102" s="9">
        <v>100</v>
      </c>
      <c r="B102" s="10" t="str">
        <f>"54492023070314582497784"</f>
        <v>54492023070314582497784</v>
      </c>
      <c r="C102" s="10" t="s">
        <v>7</v>
      </c>
      <c r="D102" s="10" t="str">
        <f>"祁曼玉"</f>
        <v>祁曼玉</v>
      </c>
      <c r="E102" s="10" t="str">
        <f t="shared" si="2"/>
        <v>女</v>
      </c>
      <c r="F102" s="10"/>
    </row>
    <row r="103" spans="1:6" ht="34.5" customHeight="1">
      <c r="A103" s="9">
        <v>101</v>
      </c>
      <c r="B103" s="10" t="str">
        <f>"54492023070315074497832"</f>
        <v>54492023070315074497832</v>
      </c>
      <c r="C103" s="10" t="s">
        <v>7</v>
      </c>
      <c r="D103" s="10" t="str">
        <f>"雷家善"</f>
        <v>雷家善</v>
      </c>
      <c r="E103" s="10" t="str">
        <f>"男"</f>
        <v>男</v>
      </c>
      <c r="F103" s="10"/>
    </row>
    <row r="104" spans="1:6" ht="34.5" customHeight="1">
      <c r="A104" s="9">
        <v>102</v>
      </c>
      <c r="B104" s="10" t="str">
        <f>"54492023070310073896115"</f>
        <v>54492023070310073896115</v>
      </c>
      <c r="C104" s="10" t="s">
        <v>7</v>
      </c>
      <c r="D104" s="10" t="str">
        <f>"项昊羽"</f>
        <v>项昊羽</v>
      </c>
      <c r="E104" s="10" t="str">
        <f aca="true" t="shared" si="3" ref="E104:E154">"女"</f>
        <v>女</v>
      </c>
      <c r="F104" s="10"/>
    </row>
    <row r="105" spans="1:6" ht="34.5" customHeight="1">
      <c r="A105" s="9">
        <v>103</v>
      </c>
      <c r="B105" s="10" t="str">
        <f>"54492023070315340698012"</f>
        <v>54492023070315340698012</v>
      </c>
      <c r="C105" s="10" t="s">
        <v>7</v>
      </c>
      <c r="D105" s="10" t="str">
        <f>"陈民丽"</f>
        <v>陈民丽</v>
      </c>
      <c r="E105" s="10" t="str">
        <f t="shared" si="3"/>
        <v>女</v>
      </c>
      <c r="F105" s="10"/>
    </row>
    <row r="106" spans="1:6" ht="34.5" customHeight="1">
      <c r="A106" s="9">
        <v>104</v>
      </c>
      <c r="B106" s="10" t="str">
        <f>"54492023070312084696931"</f>
        <v>54492023070312084696931</v>
      </c>
      <c r="C106" s="10" t="s">
        <v>7</v>
      </c>
      <c r="D106" s="10" t="str">
        <f>"黄芳蕾"</f>
        <v>黄芳蕾</v>
      </c>
      <c r="E106" s="10" t="str">
        <f t="shared" si="3"/>
        <v>女</v>
      </c>
      <c r="F106" s="10"/>
    </row>
    <row r="107" spans="1:6" ht="34.5" customHeight="1">
      <c r="A107" s="9">
        <v>105</v>
      </c>
      <c r="B107" s="10" t="str">
        <f>"54492023070315163397893"</f>
        <v>54492023070315163397893</v>
      </c>
      <c r="C107" s="10" t="s">
        <v>7</v>
      </c>
      <c r="D107" s="10" t="str">
        <f>"吉微"</f>
        <v>吉微</v>
      </c>
      <c r="E107" s="10" t="str">
        <f t="shared" si="3"/>
        <v>女</v>
      </c>
      <c r="F107" s="10"/>
    </row>
    <row r="108" spans="1:6" ht="34.5" customHeight="1">
      <c r="A108" s="9">
        <v>106</v>
      </c>
      <c r="B108" s="10" t="str">
        <f>"54492023070315480098095"</f>
        <v>54492023070315480098095</v>
      </c>
      <c r="C108" s="10" t="s">
        <v>7</v>
      </c>
      <c r="D108" s="10" t="str">
        <f>"张超"</f>
        <v>张超</v>
      </c>
      <c r="E108" s="10" t="str">
        <f t="shared" si="3"/>
        <v>女</v>
      </c>
      <c r="F108" s="10"/>
    </row>
    <row r="109" spans="1:6" ht="34.5" customHeight="1">
      <c r="A109" s="9">
        <v>107</v>
      </c>
      <c r="B109" s="10" t="str">
        <f>"54492023070315493898109"</f>
        <v>54492023070315493898109</v>
      </c>
      <c r="C109" s="10" t="s">
        <v>7</v>
      </c>
      <c r="D109" s="10" t="str">
        <f>"潘治岐"</f>
        <v>潘治岐</v>
      </c>
      <c r="E109" s="10" t="str">
        <f t="shared" si="3"/>
        <v>女</v>
      </c>
      <c r="F109" s="10"/>
    </row>
    <row r="110" spans="1:6" ht="34.5" customHeight="1">
      <c r="A110" s="9">
        <v>108</v>
      </c>
      <c r="B110" s="10" t="str">
        <f>"54492023070315023597803"</f>
        <v>54492023070315023597803</v>
      </c>
      <c r="C110" s="10" t="s">
        <v>7</v>
      </c>
      <c r="D110" s="10" t="str">
        <f>"林小湾"</f>
        <v>林小湾</v>
      </c>
      <c r="E110" s="10" t="str">
        <f t="shared" si="3"/>
        <v>女</v>
      </c>
      <c r="F110" s="10"/>
    </row>
    <row r="111" spans="1:6" ht="34.5" customHeight="1">
      <c r="A111" s="9">
        <v>109</v>
      </c>
      <c r="B111" s="10" t="str">
        <f>"54492023070315443398070"</f>
        <v>54492023070315443398070</v>
      </c>
      <c r="C111" s="10" t="s">
        <v>7</v>
      </c>
      <c r="D111" s="10" t="str">
        <f>"侯丽媛"</f>
        <v>侯丽媛</v>
      </c>
      <c r="E111" s="10" t="str">
        <f t="shared" si="3"/>
        <v>女</v>
      </c>
      <c r="F111" s="10"/>
    </row>
    <row r="112" spans="1:6" ht="34.5" customHeight="1">
      <c r="A112" s="9">
        <v>110</v>
      </c>
      <c r="B112" s="10" t="str">
        <f>"54492023070221491094818"</f>
        <v>54492023070221491094818</v>
      </c>
      <c r="C112" s="10" t="s">
        <v>7</v>
      </c>
      <c r="D112" s="10" t="str">
        <f>"蔡静"</f>
        <v>蔡静</v>
      </c>
      <c r="E112" s="10" t="str">
        <f t="shared" si="3"/>
        <v>女</v>
      </c>
      <c r="F112" s="10"/>
    </row>
    <row r="113" spans="1:6" ht="34.5" customHeight="1">
      <c r="A113" s="9">
        <v>111</v>
      </c>
      <c r="B113" s="10" t="str">
        <f>"54492023070314370297659"</f>
        <v>54492023070314370297659</v>
      </c>
      <c r="C113" s="10" t="s">
        <v>7</v>
      </c>
      <c r="D113" s="10" t="str">
        <f>"李芙蓉"</f>
        <v>李芙蓉</v>
      </c>
      <c r="E113" s="10" t="str">
        <f t="shared" si="3"/>
        <v>女</v>
      </c>
      <c r="F113" s="10"/>
    </row>
    <row r="114" spans="1:6" ht="34.5" customHeight="1">
      <c r="A114" s="9">
        <v>112</v>
      </c>
      <c r="B114" s="10" t="str">
        <f>"54492023070316142698248"</f>
        <v>54492023070316142698248</v>
      </c>
      <c r="C114" s="10" t="s">
        <v>7</v>
      </c>
      <c r="D114" s="10" t="str">
        <f>"施敏"</f>
        <v>施敏</v>
      </c>
      <c r="E114" s="10" t="str">
        <f t="shared" si="3"/>
        <v>女</v>
      </c>
      <c r="F114" s="10"/>
    </row>
    <row r="115" spans="1:6" ht="34.5" customHeight="1">
      <c r="A115" s="9">
        <v>113</v>
      </c>
      <c r="B115" s="10" t="str">
        <f>"54492023070219061494412"</f>
        <v>54492023070219061494412</v>
      </c>
      <c r="C115" s="10" t="s">
        <v>7</v>
      </c>
      <c r="D115" s="10" t="str">
        <f>"高元浪"</f>
        <v>高元浪</v>
      </c>
      <c r="E115" s="10" t="str">
        <f t="shared" si="3"/>
        <v>女</v>
      </c>
      <c r="F115" s="10"/>
    </row>
    <row r="116" spans="1:6" ht="34.5" customHeight="1">
      <c r="A116" s="9">
        <v>114</v>
      </c>
      <c r="B116" s="10" t="str">
        <f>"54492023070315591398169"</f>
        <v>54492023070315591398169</v>
      </c>
      <c r="C116" s="10" t="s">
        <v>7</v>
      </c>
      <c r="D116" s="10" t="str">
        <f>"周丹宁"</f>
        <v>周丹宁</v>
      </c>
      <c r="E116" s="10" t="str">
        <f t="shared" si="3"/>
        <v>女</v>
      </c>
      <c r="F116" s="10"/>
    </row>
    <row r="117" spans="1:6" ht="34.5" customHeight="1">
      <c r="A117" s="9">
        <v>115</v>
      </c>
      <c r="B117" s="10" t="str">
        <f>"54492023070316221798293"</f>
        <v>54492023070316221798293</v>
      </c>
      <c r="C117" s="10" t="s">
        <v>7</v>
      </c>
      <c r="D117" s="10" t="str">
        <f>"温芳艳"</f>
        <v>温芳艳</v>
      </c>
      <c r="E117" s="10" t="str">
        <f t="shared" si="3"/>
        <v>女</v>
      </c>
      <c r="F117" s="10"/>
    </row>
    <row r="118" spans="1:6" ht="34.5" customHeight="1">
      <c r="A118" s="9">
        <v>116</v>
      </c>
      <c r="B118" s="10" t="str">
        <f>"54492023070315455098079"</f>
        <v>54492023070315455098079</v>
      </c>
      <c r="C118" s="10" t="s">
        <v>7</v>
      </c>
      <c r="D118" s="10" t="str">
        <f>"邢敏"</f>
        <v>邢敏</v>
      </c>
      <c r="E118" s="10" t="str">
        <f t="shared" si="3"/>
        <v>女</v>
      </c>
      <c r="F118" s="10"/>
    </row>
    <row r="119" spans="1:6" ht="34.5" customHeight="1">
      <c r="A119" s="9">
        <v>117</v>
      </c>
      <c r="B119" s="10" t="str">
        <f>"54492023070300475295175"</f>
        <v>54492023070300475295175</v>
      </c>
      <c r="C119" s="10" t="s">
        <v>7</v>
      </c>
      <c r="D119" s="10" t="str">
        <f>"蔡晓庆"</f>
        <v>蔡晓庆</v>
      </c>
      <c r="E119" s="10" t="str">
        <f t="shared" si="3"/>
        <v>女</v>
      </c>
      <c r="F119" s="10"/>
    </row>
    <row r="120" spans="1:6" ht="34.5" customHeight="1">
      <c r="A120" s="9">
        <v>118</v>
      </c>
      <c r="B120" s="10" t="str">
        <f>"54492023070316410298416"</f>
        <v>54492023070316410298416</v>
      </c>
      <c r="C120" s="10" t="s">
        <v>7</v>
      </c>
      <c r="D120" s="10" t="str">
        <f>"谭玉容"</f>
        <v>谭玉容</v>
      </c>
      <c r="E120" s="10" t="str">
        <f t="shared" si="3"/>
        <v>女</v>
      </c>
      <c r="F120" s="10"/>
    </row>
    <row r="121" spans="1:6" ht="34.5" customHeight="1">
      <c r="A121" s="9">
        <v>119</v>
      </c>
      <c r="B121" s="10" t="str">
        <f>"54492023070316563198504"</f>
        <v>54492023070316563198504</v>
      </c>
      <c r="C121" s="10" t="s">
        <v>7</v>
      </c>
      <c r="D121" s="10" t="str">
        <f>"黄佳佳"</f>
        <v>黄佳佳</v>
      </c>
      <c r="E121" s="10" t="str">
        <f t="shared" si="3"/>
        <v>女</v>
      </c>
      <c r="F121" s="10"/>
    </row>
    <row r="122" spans="1:6" ht="34.5" customHeight="1">
      <c r="A122" s="9">
        <v>120</v>
      </c>
      <c r="B122" s="10" t="str">
        <f>"54492023070316575098515"</f>
        <v>54492023070316575098515</v>
      </c>
      <c r="C122" s="10" t="s">
        <v>7</v>
      </c>
      <c r="D122" s="10" t="str">
        <f>"桂卫丽"</f>
        <v>桂卫丽</v>
      </c>
      <c r="E122" s="10" t="str">
        <f t="shared" si="3"/>
        <v>女</v>
      </c>
      <c r="F122" s="10"/>
    </row>
    <row r="123" spans="1:6" ht="34.5" customHeight="1">
      <c r="A123" s="9">
        <v>121</v>
      </c>
      <c r="B123" s="10" t="str">
        <f>"54492023070316494198464"</f>
        <v>54492023070316494198464</v>
      </c>
      <c r="C123" s="10" t="s">
        <v>7</v>
      </c>
      <c r="D123" s="10" t="str">
        <f>"陈垂蕾"</f>
        <v>陈垂蕾</v>
      </c>
      <c r="E123" s="10" t="str">
        <f t="shared" si="3"/>
        <v>女</v>
      </c>
      <c r="F123" s="10"/>
    </row>
    <row r="124" spans="1:6" ht="34.5" customHeight="1">
      <c r="A124" s="9">
        <v>122</v>
      </c>
      <c r="B124" s="10" t="str">
        <f>"54492023070315455798080"</f>
        <v>54492023070315455798080</v>
      </c>
      <c r="C124" s="10" t="s">
        <v>7</v>
      </c>
      <c r="D124" s="10" t="str">
        <f>"苏茹"</f>
        <v>苏茹</v>
      </c>
      <c r="E124" s="10" t="str">
        <f t="shared" si="3"/>
        <v>女</v>
      </c>
      <c r="F124" s="10"/>
    </row>
    <row r="125" spans="1:6" ht="34.5" customHeight="1">
      <c r="A125" s="9">
        <v>123</v>
      </c>
      <c r="B125" s="10" t="str">
        <f>"54492023070317010698531"</f>
        <v>54492023070317010698531</v>
      </c>
      <c r="C125" s="10" t="s">
        <v>7</v>
      </c>
      <c r="D125" s="10" t="str">
        <f>"李珊珊"</f>
        <v>李珊珊</v>
      </c>
      <c r="E125" s="10" t="str">
        <f t="shared" si="3"/>
        <v>女</v>
      </c>
      <c r="F125" s="10"/>
    </row>
    <row r="126" spans="1:6" ht="34.5" customHeight="1">
      <c r="A126" s="9">
        <v>124</v>
      </c>
      <c r="B126" s="10" t="str">
        <f>"54492023070316550298493"</f>
        <v>54492023070316550298493</v>
      </c>
      <c r="C126" s="10" t="s">
        <v>7</v>
      </c>
      <c r="D126" s="10" t="str">
        <f>"王娇婉"</f>
        <v>王娇婉</v>
      </c>
      <c r="E126" s="10" t="str">
        <f t="shared" si="3"/>
        <v>女</v>
      </c>
      <c r="F126" s="10"/>
    </row>
    <row r="127" spans="1:6" ht="34.5" customHeight="1">
      <c r="A127" s="9">
        <v>125</v>
      </c>
      <c r="B127" s="10" t="str">
        <f>"54492023070317111398587"</f>
        <v>54492023070317111398587</v>
      </c>
      <c r="C127" s="10" t="s">
        <v>7</v>
      </c>
      <c r="D127" s="10" t="str">
        <f>"陈雅"</f>
        <v>陈雅</v>
      </c>
      <c r="E127" s="10" t="str">
        <f t="shared" si="3"/>
        <v>女</v>
      </c>
      <c r="F127" s="10"/>
    </row>
    <row r="128" spans="1:6" ht="34.5" customHeight="1">
      <c r="A128" s="9">
        <v>126</v>
      </c>
      <c r="B128" s="10" t="str">
        <f>"54492023070317272798671"</f>
        <v>54492023070317272798671</v>
      </c>
      <c r="C128" s="10" t="s">
        <v>7</v>
      </c>
      <c r="D128" s="10" t="str">
        <f>"蔡媚"</f>
        <v>蔡媚</v>
      </c>
      <c r="E128" s="10" t="str">
        <f t="shared" si="3"/>
        <v>女</v>
      </c>
      <c r="F128" s="10"/>
    </row>
    <row r="129" spans="1:6" ht="34.5" customHeight="1">
      <c r="A129" s="9">
        <v>127</v>
      </c>
      <c r="B129" s="10" t="str">
        <f>"54492023070317042798550"</f>
        <v>54492023070317042798550</v>
      </c>
      <c r="C129" s="10" t="s">
        <v>7</v>
      </c>
      <c r="D129" s="10" t="str">
        <f>"缪茜茜"</f>
        <v>缪茜茜</v>
      </c>
      <c r="E129" s="10" t="str">
        <f t="shared" si="3"/>
        <v>女</v>
      </c>
      <c r="F129" s="10"/>
    </row>
    <row r="130" spans="1:6" ht="34.5" customHeight="1">
      <c r="A130" s="9">
        <v>128</v>
      </c>
      <c r="B130" s="10" t="str">
        <f>"54492023070219521194505"</f>
        <v>54492023070219521194505</v>
      </c>
      <c r="C130" s="10" t="s">
        <v>7</v>
      </c>
      <c r="D130" s="10" t="str">
        <f>"符贤娥"</f>
        <v>符贤娥</v>
      </c>
      <c r="E130" s="10" t="str">
        <f t="shared" si="3"/>
        <v>女</v>
      </c>
      <c r="F130" s="10"/>
    </row>
    <row r="131" spans="1:6" ht="34.5" customHeight="1">
      <c r="A131" s="9">
        <v>129</v>
      </c>
      <c r="B131" s="10" t="str">
        <f>"54492023070315130997869"</f>
        <v>54492023070315130997869</v>
      </c>
      <c r="C131" s="10" t="s">
        <v>7</v>
      </c>
      <c r="D131" s="10" t="str">
        <f>"唐传婷"</f>
        <v>唐传婷</v>
      </c>
      <c r="E131" s="10" t="str">
        <f t="shared" si="3"/>
        <v>女</v>
      </c>
      <c r="F131" s="10"/>
    </row>
    <row r="132" spans="1:6" ht="34.5" customHeight="1">
      <c r="A132" s="9">
        <v>130</v>
      </c>
      <c r="B132" s="10" t="str">
        <f>"54492023070315494298110"</f>
        <v>54492023070315494298110</v>
      </c>
      <c r="C132" s="10" t="s">
        <v>7</v>
      </c>
      <c r="D132" s="10" t="str">
        <f>"林丹丹"</f>
        <v>林丹丹</v>
      </c>
      <c r="E132" s="10" t="str">
        <f t="shared" si="3"/>
        <v>女</v>
      </c>
      <c r="F132" s="10"/>
    </row>
    <row r="133" spans="1:6" ht="34.5" customHeight="1">
      <c r="A133" s="9">
        <v>131</v>
      </c>
      <c r="B133" s="10" t="str">
        <f>"54492023070311153396637"</f>
        <v>54492023070311153396637</v>
      </c>
      <c r="C133" s="10" t="s">
        <v>7</v>
      </c>
      <c r="D133" s="10" t="str">
        <f>"王海兰"</f>
        <v>王海兰</v>
      </c>
      <c r="E133" s="10" t="str">
        <f t="shared" si="3"/>
        <v>女</v>
      </c>
      <c r="F133" s="10"/>
    </row>
    <row r="134" spans="1:6" ht="34.5" customHeight="1">
      <c r="A134" s="9">
        <v>132</v>
      </c>
      <c r="B134" s="10" t="str">
        <f>"54492023070312241597031"</f>
        <v>54492023070312241597031</v>
      </c>
      <c r="C134" s="10" t="s">
        <v>7</v>
      </c>
      <c r="D134" s="10" t="str">
        <f>"云琼雨"</f>
        <v>云琼雨</v>
      </c>
      <c r="E134" s="10" t="str">
        <f t="shared" si="3"/>
        <v>女</v>
      </c>
      <c r="F134" s="10"/>
    </row>
    <row r="135" spans="1:6" ht="34.5" customHeight="1">
      <c r="A135" s="9">
        <v>133</v>
      </c>
      <c r="B135" s="10" t="str">
        <f>"54492023070319101799036"</f>
        <v>54492023070319101799036</v>
      </c>
      <c r="C135" s="10" t="s">
        <v>7</v>
      </c>
      <c r="D135" s="10" t="str">
        <f>"任晶"</f>
        <v>任晶</v>
      </c>
      <c r="E135" s="10" t="str">
        <f t="shared" si="3"/>
        <v>女</v>
      </c>
      <c r="F135" s="10"/>
    </row>
    <row r="136" spans="1:6" ht="34.5" customHeight="1">
      <c r="A136" s="9">
        <v>134</v>
      </c>
      <c r="B136" s="10" t="str">
        <f>"54492023070319254499091"</f>
        <v>54492023070319254499091</v>
      </c>
      <c r="C136" s="10" t="s">
        <v>7</v>
      </c>
      <c r="D136" s="10" t="str">
        <f>"陈小云"</f>
        <v>陈小云</v>
      </c>
      <c r="E136" s="10" t="str">
        <f t="shared" si="3"/>
        <v>女</v>
      </c>
      <c r="F136" s="10"/>
    </row>
    <row r="137" spans="1:6" ht="34.5" customHeight="1">
      <c r="A137" s="9">
        <v>135</v>
      </c>
      <c r="B137" s="10" t="str">
        <f>"54492023070319515999199"</f>
        <v>54492023070319515999199</v>
      </c>
      <c r="C137" s="10" t="s">
        <v>7</v>
      </c>
      <c r="D137" s="10" t="str">
        <f>"许小环"</f>
        <v>许小环</v>
      </c>
      <c r="E137" s="10" t="str">
        <f t="shared" si="3"/>
        <v>女</v>
      </c>
      <c r="F137" s="10"/>
    </row>
    <row r="138" spans="1:6" ht="34.5" customHeight="1">
      <c r="A138" s="9">
        <v>136</v>
      </c>
      <c r="B138" s="10" t="str">
        <f>"54492023070319492599182"</f>
        <v>54492023070319492599182</v>
      </c>
      <c r="C138" s="10" t="s">
        <v>7</v>
      </c>
      <c r="D138" s="10" t="str">
        <f>"林慧慧"</f>
        <v>林慧慧</v>
      </c>
      <c r="E138" s="10" t="str">
        <f t="shared" si="3"/>
        <v>女</v>
      </c>
      <c r="F138" s="10"/>
    </row>
    <row r="139" spans="1:6" ht="34.5" customHeight="1">
      <c r="A139" s="9">
        <v>137</v>
      </c>
      <c r="B139" s="10" t="str">
        <f>"54492023070319250699088"</f>
        <v>54492023070319250699088</v>
      </c>
      <c r="C139" s="10" t="s">
        <v>7</v>
      </c>
      <c r="D139" s="10" t="str">
        <f>"王莹菁"</f>
        <v>王莹菁</v>
      </c>
      <c r="E139" s="10" t="str">
        <f t="shared" si="3"/>
        <v>女</v>
      </c>
      <c r="F139" s="10"/>
    </row>
    <row r="140" spans="1:6" ht="34.5" customHeight="1">
      <c r="A140" s="9">
        <v>138</v>
      </c>
      <c r="B140" s="10" t="str">
        <f>"54492023070320165899312"</f>
        <v>54492023070320165899312</v>
      </c>
      <c r="C140" s="10" t="s">
        <v>7</v>
      </c>
      <c r="D140" s="10" t="str">
        <f>"冯珊珊"</f>
        <v>冯珊珊</v>
      </c>
      <c r="E140" s="10" t="str">
        <f t="shared" si="3"/>
        <v>女</v>
      </c>
      <c r="F140" s="10"/>
    </row>
    <row r="141" spans="1:6" ht="34.5" customHeight="1">
      <c r="A141" s="9">
        <v>139</v>
      </c>
      <c r="B141" s="10" t="str">
        <f>"54492023070320100899279"</f>
        <v>54492023070320100899279</v>
      </c>
      <c r="C141" s="10" t="s">
        <v>7</v>
      </c>
      <c r="D141" s="10" t="str">
        <f>"石晓兰"</f>
        <v>石晓兰</v>
      </c>
      <c r="E141" s="10" t="str">
        <f t="shared" si="3"/>
        <v>女</v>
      </c>
      <c r="F141" s="10"/>
    </row>
    <row r="142" spans="1:6" ht="34.5" customHeight="1">
      <c r="A142" s="9">
        <v>140</v>
      </c>
      <c r="B142" s="10" t="str">
        <f>"54492023070320234999341"</f>
        <v>54492023070320234999341</v>
      </c>
      <c r="C142" s="10" t="s">
        <v>7</v>
      </c>
      <c r="D142" s="10" t="str">
        <f>"黎小姗"</f>
        <v>黎小姗</v>
      </c>
      <c r="E142" s="10" t="str">
        <f t="shared" si="3"/>
        <v>女</v>
      </c>
      <c r="F142" s="10"/>
    </row>
    <row r="143" spans="1:6" ht="34.5" customHeight="1">
      <c r="A143" s="9">
        <v>141</v>
      </c>
      <c r="B143" s="10" t="str">
        <f>"54492023070320283299366"</f>
        <v>54492023070320283299366</v>
      </c>
      <c r="C143" s="10" t="s">
        <v>7</v>
      </c>
      <c r="D143" s="10" t="str">
        <f>"谭向冰"</f>
        <v>谭向冰</v>
      </c>
      <c r="E143" s="10" t="str">
        <f t="shared" si="3"/>
        <v>女</v>
      </c>
      <c r="F143" s="10"/>
    </row>
    <row r="144" spans="1:6" ht="34.5" customHeight="1">
      <c r="A144" s="9">
        <v>142</v>
      </c>
      <c r="B144" s="10" t="str">
        <f>"54492023070320454099453"</f>
        <v>54492023070320454099453</v>
      </c>
      <c r="C144" s="10" t="s">
        <v>7</v>
      </c>
      <c r="D144" s="10" t="str">
        <f>"曾回婷"</f>
        <v>曾回婷</v>
      </c>
      <c r="E144" s="10" t="str">
        <f t="shared" si="3"/>
        <v>女</v>
      </c>
      <c r="F144" s="10"/>
    </row>
    <row r="145" spans="1:6" ht="34.5" customHeight="1">
      <c r="A145" s="9">
        <v>143</v>
      </c>
      <c r="B145" s="10" t="str">
        <f>"54492023070320484699466"</f>
        <v>54492023070320484699466</v>
      </c>
      <c r="C145" s="10" t="s">
        <v>7</v>
      </c>
      <c r="D145" s="10" t="str">
        <f>"李莹"</f>
        <v>李莹</v>
      </c>
      <c r="E145" s="10" t="str">
        <f t="shared" si="3"/>
        <v>女</v>
      </c>
      <c r="F145" s="10"/>
    </row>
    <row r="146" spans="1:6" ht="34.5" customHeight="1">
      <c r="A146" s="9">
        <v>144</v>
      </c>
      <c r="B146" s="10" t="str">
        <f>"54492023070321424299756"</f>
        <v>54492023070321424299756</v>
      </c>
      <c r="C146" s="10" t="s">
        <v>7</v>
      </c>
      <c r="D146" s="10" t="str">
        <f>"李倩"</f>
        <v>李倩</v>
      </c>
      <c r="E146" s="10" t="str">
        <f t="shared" si="3"/>
        <v>女</v>
      </c>
      <c r="F146" s="10" t="str">
        <f>"身份证后四位为0024"</f>
        <v>身份证后四位为0024</v>
      </c>
    </row>
    <row r="147" spans="1:6" ht="34.5" customHeight="1">
      <c r="A147" s="9">
        <v>145</v>
      </c>
      <c r="B147" s="10" t="str">
        <f>"54492023070314432297693"</f>
        <v>54492023070314432297693</v>
      </c>
      <c r="C147" s="10" t="s">
        <v>7</v>
      </c>
      <c r="D147" s="10" t="str">
        <f>"王春蕊"</f>
        <v>王春蕊</v>
      </c>
      <c r="E147" s="10" t="str">
        <f t="shared" si="3"/>
        <v>女</v>
      </c>
      <c r="F147" s="10"/>
    </row>
    <row r="148" spans="1:6" ht="34.5" customHeight="1">
      <c r="A148" s="9">
        <v>146</v>
      </c>
      <c r="B148" s="10" t="str">
        <f>"54492023070321572499826"</f>
        <v>54492023070321572499826</v>
      </c>
      <c r="C148" s="10" t="s">
        <v>7</v>
      </c>
      <c r="D148" s="10" t="str">
        <f>"张华丽"</f>
        <v>张华丽</v>
      </c>
      <c r="E148" s="10" t="str">
        <f t="shared" si="3"/>
        <v>女</v>
      </c>
      <c r="F148" s="10"/>
    </row>
    <row r="149" spans="1:6" ht="34.5" customHeight="1">
      <c r="A149" s="9">
        <v>147</v>
      </c>
      <c r="B149" s="10" t="str">
        <f>"54492023070322210599948"</f>
        <v>54492023070322210599948</v>
      </c>
      <c r="C149" s="10" t="s">
        <v>7</v>
      </c>
      <c r="D149" s="10" t="str">
        <f>"陈薇夷"</f>
        <v>陈薇夷</v>
      </c>
      <c r="E149" s="10" t="str">
        <f t="shared" si="3"/>
        <v>女</v>
      </c>
      <c r="F149" s="10"/>
    </row>
    <row r="150" spans="1:6" ht="34.5" customHeight="1">
      <c r="A150" s="9">
        <v>148</v>
      </c>
      <c r="B150" s="10" t="str">
        <f>"54492023070322182399933"</f>
        <v>54492023070322182399933</v>
      </c>
      <c r="C150" s="10" t="s">
        <v>7</v>
      </c>
      <c r="D150" s="10" t="str">
        <f>"潘星颖"</f>
        <v>潘星颖</v>
      </c>
      <c r="E150" s="10" t="str">
        <f t="shared" si="3"/>
        <v>女</v>
      </c>
      <c r="F150" s="10"/>
    </row>
    <row r="151" spans="1:6" ht="34.5" customHeight="1">
      <c r="A151" s="9">
        <v>149</v>
      </c>
      <c r="B151" s="10" t="str">
        <f>"54492023070322135999917"</f>
        <v>54492023070322135999917</v>
      </c>
      <c r="C151" s="10" t="s">
        <v>7</v>
      </c>
      <c r="D151" s="10" t="str">
        <f>"袁娜"</f>
        <v>袁娜</v>
      </c>
      <c r="E151" s="10" t="str">
        <f t="shared" si="3"/>
        <v>女</v>
      </c>
      <c r="F151" s="10"/>
    </row>
    <row r="152" spans="1:6" ht="34.5" customHeight="1">
      <c r="A152" s="9">
        <v>150</v>
      </c>
      <c r="B152" s="10" t="str">
        <f>"54492023070319431399160"</f>
        <v>54492023070319431399160</v>
      </c>
      <c r="C152" s="10" t="s">
        <v>7</v>
      </c>
      <c r="D152" s="10" t="str">
        <f>"叶琳"</f>
        <v>叶琳</v>
      </c>
      <c r="E152" s="10" t="str">
        <f t="shared" si="3"/>
        <v>女</v>
      </c>
      <c r="F152" s="10"/>
    </row>
    <row r="153" spans="1:6" ht="34.5" customHeight="1">
      <c r="A153" s="9">
        <v>151</v>
      </c>
      <c r="B153" s="10" t="str">
        <f>"54492023070315264097961"</f>
        <v>54492023070315264097961</v>
      </c>
      <c r="C153" s="10" t="s">
        <v>7</v>
      </c>
      <c r="D153" s="10" t="str">
        <f>"吉红椰"</f>
        <v>吉红椰</v>
      </c>
      <c r="E153" s="10" t="str">
        <f t="shared" si="3"/>
        <v>女</v>
      </c>
      <c r="F153" s="10"/>
    </row>
    <row r="154" spans="1:6" ht="34.5" customHeight="1">
      <c r="A154" s="9">
        <v>152</v>
      </c>
      <c r="B154" s="10" t="str">
        <f>"544920230703224323100042"</f>
        <v>544920230703224323100042</v>
      </c>
      <c r="C154" s="10" t="s">
        <v>7</v>
      </c>
      <c r="D154" s="10" t="str">
        <f>"孙玲"</f>
        <v>孙玲</v>
      </c>
      <c r="E154" s="10" t="str">
        <f t="shared" si="3"/>
        <v>女</v>
      </c>
      <c r="F154" s="10"/>
    </row>
    <row r="155" spans="1:6" ht="34.5" customHeight="1">
      <c r="A155" s="9">
        <v>153</v>
      </c>
      <c r="B155" s="10" t="str">
        <f>"544920230703225732100097"</f>
        <v>544920230703225732100097</v>
      </c>
      <c r="C155" s="10" t="s">
        <v>7</v>
      </c>
      <c r="D155" s="10" t="str">
        <f>"颜文帅"</f>
        <v>颜文帅</v>
      </c>
      <c r="E155" s="10" t="str">
        <f>"男"</f>
        <v>男</v>
      </c>
      <c r="F155" s="10"/>
    </row>
    <row r="156" spans="1:6" ht="34.5" customHeight="1">
      <c r="A156" s="9">
        <v>154</v>
      </c>
      <c r="B156" s="10" t="str">
        <f>"544920230703225034100069"</f>
        <v>544920230703225034100069</v>
      </c>
      <c r="C156" s="10" t="s">
        <v>7</v>
      </c>
      <c r="D156" s="10" t="str">
        <f>"符成迪"</f>
        <v>符成迪</v>
      </c>
      <c r="E156" s="10" t="str">
        <f aca="true" t="shared" si="4" ref="E156:E180">"女"</f>
        <v>女</v>
      </c>
      <c r="F156" s="10"/>
    </row>
    <row r="157" spans="1:6" ht="34.5" customHeight="1">
      <c r="A157" s="9">
        <v>155</v>
      </c>
      <c r="B157" s="10" t="str">
        <f>"544920230703233412100212"</f>
        <v>544920230703233412100212</v>
      </c>
      <c r="C157" s="10" t="s">
        <v>7</v>
      </c>
      <c r="D157" s="10" t="str">
        <f>"郑碧娜"</f>
        <v>郑碧娜</v>
      </c>
      <c r="E157" s="10" t="str">
        <f t="shared" si="4"/>
        <v>女</v>
      </c>
      <c r="F157" s="10"/>
    </row>
    <row r="158" spans="1:6" ht="34.5" customHeight="1">
      <c r="A158" s="9">
        <v>156</v>
      </c>
      <c r="B158" s="10" t="str">
        <f>"544920230703234234100241"</f>
        <v>544920230703234234100241</v>
      </c>
      <c r="C158" s="10" t="s">
        <v>7</v>
      </c>
      <c r="D158" s="10" t="str">
        <f>"董科利"</f>
        <v>董科利</v>
      </c>
      <c r="E158" s="10" t="str">
        <f t="shared" si="4"/>
        <v>女</v>
      </c>
      <c r="F158" s="10"/>
    </row>
    <row r="159" spans="1:6" ht="34.5" customHeight="1">
      <c r="A159" s="9">
        <v>157</v>
      </c>
      <c r="B159" s="10" t="str">
        <f>"54492023070220542994648"</f>
        <v>54492023070220542994648</v>
      </c>
      <c r="C159" s="10" t="s">
        <v>7</v>
      </c>
      <c r="D159" s="10" t="str">
        <f>"董朝燕"</f>
        <v>董朝燕</v>
      </c>
      <c r="E159" s="10" t="str">
        <f t="shared" si="4"/>
        <v>女</v>
      </c>
      <c r="F159" s="10"/>
    </row>
    <row r="160" spans="1:6" ht="34.5" customHeight="1">
      <c r="A160" s="9">
        <v>158</v>
      </c>
      <c r="B160" s="10" t="str">
        <f>"544920230704005844100364"</f>
        <v>544920230704005844100364</v>
      </c>
      <c r="C160" s="10" t="s">
        <v>7</v>
      </c>
      <c r="D160" s="10" t="str">
        <f>"王智慧"</f>
        <v>王智慧</v>
      </c>
      <c r="E160" s="10" t="str">
        <f t="shared" si="4"/>
        <v>女</v>
      </c>
      <c r="F160" s="10"/>
    </row>
    <row r="161" spans="1:6" ht="34.5" customHeight="1">
      <c r="A161" s="9">
        <v>159</v>
      </c>
      <c r="B161" s="10" t="str">
        <f>"544920230704001718100320"</f>
        <v>544920230704001718100320</v>
      </c>
      <c r="C161" s="10" t="s">
        <v>7</v>
      </c>
      <c r="D161" s="10" t="str">
        <f>"莫小凤"</f>
        <v>莫小凤</v>
      </c>
      <c r="E161" s="10" t="str">
        <f t="shared" si="4"/>
        <v>女</v>
      </c>
      <c r="F161" s="10"/>
    </row>
    <row r="162" spans="1:6" ht="34.5" customHeight="1">
      <c r="A162" s="9">
        <v>160</v>
      </c>
      <c r="B162" s="10" t="str">
        <f>"544920230704083548100603"</f>
        <v>544920230704083548100603</v>
      </c>
      <c r="C162" s="10" t="s">
        <v>7</v>
      </c>
      <c r="D162" s="10" t="str">
        <f>"杜经苹"</f>
        <v>杜经苹</v>
      </c>
      <c r="E162" s="10" t="str">
        <f t="shared" si="4"/>
        <v>女</v>
      </c>
      <c r="F162" s="10"/>
    </row>
    <row r="163" spans="1:6" ht="34.5" customHeight="1">
      <c r="A163" s="9">
        <v>161</v>
      </c>
      <c r="B163" s="10" t="str">
        <f>"54492023070317345098709"</f>
        <v>54492023070317345098709</v>
      </c>
      <c r="C163" s="10" t="s">
        <v>7</v>
      </c>
      <c r="D163" s="10" t="str">
        <f>"黄垂男"</f>
        <v>黄垂男</v>
      </c>
      <c r="E163" s="10" t="str">
        <f t="shared" si="4"/>
        <v>女</v>
      </c>
      <c r="F163" s="10"/>
    </row>
    <row r="164" spans="1:6" ht="34.5" customHeight="1">
      <c r="A164" s="9">
        <v>162</v>
      </c>
      <c r="B164" s="10" t="str">
        <f>"54492023070311421696799"</f>
        <v>54492023070311421696799</v>
      </c>
      <c r="C164" s="10" t="s">
        <v>7</v>
      </c>
      <c r="D164" s="10" t="str">
        <f>"孙荣婧"</f>
        <v>孙荣婧</v>
      </c>
      <c r="E164" s="10" t="str">
        <f t="shared" si="4"/>
        <v>女</v>
      </c>
      <c r="F164" s="10"/>
    </row>
    <row r="165" spans="1:6" ht="34.5" customHeight="1">
      <c r="A165" s="9">
        <v>163</v>
      </c>
      <c r="B165" s="10" t="str">
        <f>"544920230704083430100600"</f>
        <v>544920230704083430100600</v>
      </c>
      <c r="C165" s="10" t="s">
        <v>7</v>
      </c>
      <c r="D165" s="10" t="str">
        <f>"黄小珍"</f>
        <v>黄小珍</v>
      </c>
      <c r="E165" s="10" t="str">
        <f t="shared" si="4"/>
        <v>女</v>
      </c>
      <c r="F165" s="10"/>
    </row>
    <row r="166" spans="1:6" ht="34.5" customHeight="1">
      <c r="A166" s="9">
        <v>164</v>
      </c>
      <c r="B166" s="10" t="str">
        <f>"544920230704090340100724"</f>
        <v>544920230704090340100724</v>
      </c>
      <c r="C166" s="10" t="s">
        <v>7</v>
      </c>
      <c r="D166" s="10" t="str">
        <f>"蓝晶晶"</f>
        <v>蓝晶晶</v>
      </c>
      <c r="E166" s="10" t="str">
        <f t="shared" si="4"/>
        <v>女</v>
      </c>
      <c r="F166" s="10" t="str">
        <f>"身份证后四位为2748"</f>
        <v>身份证后四位为2748</v>
      </c>
    </row>
    <row r="167" spans="1:6" ht="34.5" customHeight="1">
      <c r="A167" s="9">
        <v>165</v>
      </c>
      <c r="B167" s="10" t="str">
        <f>"544920230704091653100792"</f>
        <v>544920230704091653100792</v>
      </c>
      <c r="C167" s="10" t="s">
        <v>7</v>
      </c>
      <c r="D167" s="10" t="str">
        <f>"李英芷"</f>
        <v>李英芷</v>
      </c>
      <c r="E167" s="10" t="str">
        <f t="shared" si="4"/>
        <v>女</v>
      </c>
      <c r="F167" s="10"/>
    </row>
    <row r="168" spans="1:6" ht="34.5" customHeight="1">
      <c r="A168" s="9">
        <v>166</v>
      </c>
      <c r="B168" s="10" t="str">
        <f>"544920230704085901100703"</f>
        <v>544920230704085901100703</v>
      </c>
      <c r="C168" s="10" t="s">
        <v>7</v>
      </c>
      <c r="D168" s="10" t="str">
        <f>"林凡舒"</f>
        <v>林凡舒</v>
      </c>
      <c r="E168" s="10" t="str">
        <f t="shared" si="4"/>
        <v>女</v>
      </c>
      <c r="F168" s="10"/>
    </row>
    <row r="169" spans="1:6" ht="34.5" customHeight="1">
      <c r="A169" s="9">
        <v>167</v>
      </c>
      <c r="B169" s="10" t="str">
        <f>"544920230704093424100872"</f>
        <v>544920230704093424100872</v>
      </c>
      <c r="C169" s="10" t="s">
        <v>7</v>
      </c>
      <c r="D169" s="10" t="str">
        <f>"符镕麟"</f>
        <v>符镕麟</v>
      </c>
      <c r="E169" s="10" t="str">
        <f t="shared" si="4"/>
        <v>女</v>
      </c>
      <c r="F169" s="10"/>
    </row>
    <row r="170" spans="1:6" ht="34.5" customHeight="1">
      <c r="A170" s="9">
        <v>168</v>
      </c>
      <c r="B170" s="10" t="str">
        <f>"544920230704094241100925"</f>
        <v>544920230704094241100925</v>
      </c>
      <c r="C170" s="10" t="s">
        <v>7</v>
      </c>
      <c r="D170" s="10" t="str">
        <f>"钟金姐"</f>
        <v>钟金姐</v>
      </c>
      <c r="E170" s="10" t="str">
        <f t="shared" si="4"/>
        <v>女</v>
      </c>
      <c r="F170" s="10"/>
    </row>
    <row r="171" spans="1:6" ht="34.5" customHeight="1">
      <c r="A171" s="9">
        <v>169</v>
      </c>
      <c r="B171" s="10" t="str">
        <f>"544920230704093909100907"</f>
        <v>544920230704093909100907</v>
      </c>
      <c r="C171" s="10" t="s">
        <v>7</v>
      </c>
      <c r="D171" s="10" t="str">
        <f>"董锦红"</f>
        <v>董锦红</v>
      </c>
      <c r="E171" s="10" t="str">
        <f t="shared" si="4"/>
        <v>女</v>
      </c>
      <c r="F171" s="10"/>
    </row>
    <row r="172" spans="1:6" ht="34.5" customHeight="1">
      <c r="A172" s="9">
        <v>170</v>
      </c>
      <c r="B172" s="10" t="str">
        <f>"544920230704102816101139"</f>
        <v>544920230704102816101139</v>
      </c>
      <c r="C172" s="10" t="s">
        <v>7</v>
      </c>
      <c r="D172" s="10" t="str">
        <f>"陈太如"</f>
        <v>陈太如</v>
      </c>
      <c r="E172" s="10" t="str">
        <f t="shared" si="4"/>
        <v>女</v>
      </c>
      <c r="F172" s="10"/>
    </row>
    <row r="173" spans="1:6" ht="34.5" customHeight="1">
      <c r="A173" s="9">
        <v>171</v>
      </c>
      <c r="B173" s="10" t="str">
        <f>"544920230704102756101134"</f>
        <v>544920230704102756101134</v>
      </c>
      <c r="C173" s="10" t="s">
        <v>7</v>
      </c>
      <c r="D173" s="10" t="str">
        <f>"王启秀"</f>
        <v>王启秀</v>
      </c>
      <c r="E173" s="10" t="str">
        <f t="shared" si="4"/>
        <v>女</v>
      </c>
      <c r="F173" s="10"/>
    </row>
    <row r="174" spans="1:6" ht="34.5" customHeight="1">
      <c r="A174" s="9">
        <v>172</v>
      </c>
      <c r="B174" s="10" t="str">
        <f>"544920230704095905100986"</f>
        <v>544920230704095905100986</v>
      </c>
      <c r="C174" s="10" t="s">
        <v>7</v>
      </c>
      <c r="D174" s="10" t="str">
        <f>"陈秋蓉"</f>
        <v>陈秋蓉</v>
      </c>
      <c r="E174" s="10" t="str">
        <f t="shared" si="4"/>
        <v>女</v>
      </c>
      <c r="F174" s="10"/>
    </row>
    <row r="175" spans="1:6" ht="34.5" customHeight="1">
      <c r="A175" s="9">
        <v>173</v>
      </c>
      <c r="B175" s="10" t="str">
        <f>"54492023070320333199393"</f>
        <v>54492023070320333199393</v>
      </c>
      <c r="C175" s="10" t="s">
        <v>7</v>
      </c>
      <c r="D175" s="10" t="str">
        <f>"劳海丽"</f>
        <v>劳海丽</v>
      </c>
      <c r="E175" s="10" t="str">
        <f t="shared" si="4"/>
        <v>女</v>
      </c>
      <c r="F175" s="10"/>
    </row>
    <row r="176" spans="1:6" ht="34.5" customHeight="1">
      <c r="A176" s="9">
        <v>174</v>
      </c>
      <c r="B176" s="10" t="str">
        <f>"544920230704104913101271"</f>
        <v>544920230704104913101271</v>
      </c>
      <c r="C176" s="10" t="s">
        <v>7</v>
      </c>
      <c r="D176" s="10" t="str">
        <f>"王琬"</f>
        <v>王琬</v>
      </c>
      <c r="E176" s="10" t="str">
        <f t="shared" si="4"/>
        <v>女</v>
      </c>
      <c r="F176" s="10"/>
    </row>
    <row r="177" spans="1:6" ht="34.5" customHeight="1">
      <c r="A177" s="9">
        <v>175</v>
      </c>
      <c r="B177" s="10" t="str">
        <f>"54492023070320034799250"</f>
        <v>54492023070320034799250</v>
      </c>
      <c r="C177" s="10" t="s">
        <v>7</v>
      </c>
      <c r="D177" s="10" t="str">
        <f>"陈浪"</f>
        <v>陈浪</v>
      </c>
      <c r="E177" s="10" t="str">
        <f t="shared" si="4"/>
        <v>女</v>
      </c>
      <c r="F177" s="10" t="str">
        <f>"身份证后四位为1322"</f>
        <v>身份证后四位为1322</v>
      </c>
    </row>
    <row r="178" spans="1:6" ht="34.5" customHeight="1">
      <c r="A178" s="9">
        <v>176</v>
      </c>
      <c r="B178" s="10" t="str">
        <f>"544920230704105828101321"</f>
        <v>544920230704105828101321</v>
      </c>
      <c r="C178" s="10" t="s">
        <v>7</v>
      </c>
      <c r="D178" s="10" t="str">
        <f>"郑忠艳"</f>
        <v>郑忠艳</v>
      </c>
      <c r="E178" s="10" t="str">
        <f t="shared" si="4"/>
        <v>女</v>
      </c>
      <c r="F178" s="10"/>
    </row>
    <row r="179" spans="1:6" ht="34.5" customHeight="1">
      <c r="A179" s="9">
        <v>177</v>
      </c>
      <c r="B179" s="10" t="str">
        <f>"544920230704105446101300"</f>
        <v>544920230704105446101300</v>
      </c>
      <c r="C179" s="10" t="s">
        <v>7</v>
      </c>
      <c r="D179" s="10" t="str">
        <f>"赵学清"</f>
        <v>赵学清</v>
      </c>
      <c r="E179" s="10" t="str">
        <f t="shared" si="4"/>
        <v>女</v>
      </c>
      <c r="F179" s="10"/>
    </row>
    <row r="180" spans="1:6" ht="34.5" customHeight="1">
      <c r="A180" s="9">
        <v>178</v>
      </c>
      <c r="B180" s="10" t="str">
        <f>"544920230704103052101160"</f>
        <v>544920230704103052101160</v>
      </c>
      <c r="C180" s="10" t="s">
        <v>7</v>
      </c>
      <c r="D180" s="10" t="str">
        <f>"符秀凤"</f>
        <v>符秀凤</v>
      </c>
      <c r="E180" s="10" t="str">
        <f t="shared" si="4"/>
        <v>女</v>
      </c>
      <c r="F180" s="10"/>
    </row>
    <row r="181" spans="1:6" ht="34.5" customHeight="1">
      <c r="A181" s="9">
        <v>179</v>
      </c>
      <c r="B181" s="10" t="str">
        <f>"54492023070312543697214"</f>
        <v>54492023070312543697214</v>
      </c>
      <c r="C181" s="10" t="s">
        <v>7</v>
      </c>
      <c r="D181" s="10" t="str">
        <f>"洪书棋"</f>
        <v>洪书棋</v>
      </c>
      <c r="E181" s="10" t="str">
        <f>"男"</f>
        <v>男</v>
      </c>
      <c r="F181" s="10"/>
    </row>
    <row r="182" spans="1:6" ht="34.5" customHeight="1">
      <c r="A182" s="9">
        <v>180</v>
      </c>
      <c r="B182" s="10" t="str">
        <f>"54492023070312495597189"</f>
        <v>54492023070312495597189</v>
      </c>
      <c r="C182" s="10" t="s">
        <v>7</v>
      </c>
      <c r="D182" s="10" t="str">
        <f>"陈汝萍"</f>
        <v>陈汝萍</v>
      </c>
      <c r="E182" s="10" t="str">
        <f aca="true" t="shared" si="5" ref="E182:E204">"女"</f>
        <v>女</v>
      </c>
      <c r="F182" s="10"/>
    </row>
    <row r="183" spans="1:6" ht="34.5" customHeight="1">
      <c r="A183" s="9">
        <v>181</v>
      </c>
      <c r="B183" s="10" t="str">
        <f>"544920230704111229101385"</f>
        <v>544920230704111229101385</v>
      </c>
      <c r="C183" s="10" t="s">
        <v>7</v>
      </c>
      <c r="D183" s="10" t="str">
        <f>"陈如"</f>
        <v>陈如</v>
      </c>
      <c r="E183" s="10" t="str">
        <f t="shared" si="5"/>
        <v>女</v>
      </c>
      <c r="F183" s="10"/>
    </row>
    <row r="184" spans="1:6" ht="34.5" customHeight="1">
      <c r="A184" s="9">
        <v>182</v>
      </c>
      <c r="B184" s="10" t="str">
        <f>"544920230704112955101467"</f>
        <v>544920230704112955101467</v>
      </c>
      <c r="C184" s="10" t="s">
        <v>7</v>
      </c>
      <c r="D184" s="10" t="str">
        <f>"杜春慢"</f>
        <v>杜春慢</v>
      </c>
      <c r="E184" s="10" t="str">
        <f t="shared" si="5"/>
        <v>女</v>
      </c>
      <c r="F184" s="10"/>
    </row>
    <row r="185" spans="1:6" ht="34.5" customHeight="1">
      <c r="A185" s="9">
        <v>183</v>
      </c>
      <c r="B185" s="10" t="str">
        <f>"544920230704114442101545"</f>
        <v>544920230704114442101545</v>
      </c>
      <c r="C185" s="10" t="s">
        <v>7</v>
      </c>
      <c r="D185" s="10" t="str">
        <f>"吴林敏"</f>
        <v>吴林敏</v>
      </c>
      <c r="E185" s="10" t="str">
        <f t="shared" si="5"/>
        <v>女</v>
      </c>
      <c r="F185" s="10"/>
    </row>
    <row r="186" spans="1:6" ht="34.5" customHeight="1">
      <c r="A186" s="9">
        <v>184</v>
      </c>
      <c r="B186" s="10" t="str">
        <f>"544920230704114106101527"</f>
        <v>544920230704114106101527</v>
      </c>
      <c r="C186" s="10" t="s">
        <v>7</v>
      </c>
      <c r="D186" s="10" t="str">
        <f>"吴雪"</f>
        <v>吴雪</v>
      </c>
      <c r="E186" s="10" t="str">
        <f t="shared" si="5"/>
        <v>女</v>
      </c>
      <c r="F186" s="10"/>
    </row>
    <row r="187" spans="1:6" ht="34.5" customHeight="1">
      <c r="A187" s="9">
        <v>185</v>
      </c>
      <c r="B187" s="10" t="str">
        <f>"54492023070309095195589"</f>
        <v>54492023070309095195589</v>
      </c>
      <c r="C187" s="10" t="s">
        <v>7</v>
      </c>
      <c r="D187" s="10" t="str">
        <f>"何品丹"</f>
        <v>何品丹</v>
      </c>
      <c r="E187" s="10" t="str">
        <f t="shared" si="5"/>
        <v>女</v>
      </c>
      <c r="F187" s="10"/>
    </row>
    <row r="188" spans="1:6" ht="34.5" customHeight="1">
      <c r="A188" s="9">
        <v>186</v>
      </c>
      <c r="B188" s="10" t="str">
        <f>"544920230704112604101451"</f>
        <v>544920230704112604101451</v>
      </c>
      <c r="C188" s="10" t="s">
        <v>7</v>
      </c>
      <c r="D188" s="10" t="str">
        <f>"李运玲"</f>
        <v>李运玲</v>
      </c>
      <c r="E188" s="10" t="str">
        <f t="shared" si="5"/>
        <v>女</v>
      </c>
      <c r="F188" s="10"/>
    </row>
    <row r="189" spans="1:6" ht="34.5" customHeight="1">
      <c r="A189" s="9">
        <v>187</v>
      </c>
      <c r="B189" s="10" t="str">
        <f>"544920230704114357101543"</f>
        <v>544920230704114357101543</v>
      </c>
      <c r="C189" s="10" t="s">
        <v>7</v>
      </c>
      <c r="D189" s="10" t="str">
        <f>"黄奕琳"</f>
        <v>黄奕琳</v>
      </c>
      <c r="E189" s="10" t="str">
        <f t="shared" si="5"/>
        <v>女</v>
      </c>
      <c r="F189" s="10"/>
    </row>
    <row r="190" spans="1:6" ht="34.5" customHeight="1">
      <c r="A190" s="9">
        <v>188</v>
      </c>
      <c r="B190" s="10" t="str">
        <f>"544920230704122740101675"</f>
        <v>544920230704122740101675</v>
      </c>
      <c r="C190" s="10" t="s">
        <v>7</v>
      </c>
      <c r="D190" s="10" t="str">
        <f>"刘春玉"</f>
        <v>刘春玉</v>
      </c>
      <c r="E190" s="10" t="str">
        <f t="shared" si="5"/>
        <v>女</v>
      </c>
      <c r="F190" s="10"/>
    </row>
    <row r="191" spans="1:6" ht="34.5" customHeight="1">
      <c r="A191" s="9">
        <v>189</v>
      </c>
      <c r="B191" s="10" t="str">
        <f>"544920230704115457101578"</f>
        <v>544920230704115457101578</v>
      </c>
      <c r="C191" s="10" t="s">
        <v>7</v>
      </c>
      <c r="D191" s="10" t="str">
        <f>"符丽香"</f>
        <v>符丽香</v>
      </c>
      <c r="E191" s="10" t="str">
        <f t="shared" si="5"/>
        <v>女</v>
      </c>
      <c r="F191" s="10"/>
    </row>
    <row r="192" spans="1:6" ht="34.5" customHeight="1">
      <c r="A192" s="9">
        <v>190</v>
      </c>
      <c r="B192" s="10" t="str">
        <f>"544920230704124658101727"</f>
        <v>544920230704124658101727</v>
      </c>
      <c r="C192" s="10" t="s">
        <v>7</v>
      </c>
      <c r="D192" s="10" t="str">
        <f>"龙濡"</f>
        <v>龙濡</v>
      </c>
      <c r="E192" s="10" t="str">
        <f t="shared" si="5"/>
        <v>女</v>
      </c>
      <c r="F192" s="10"/>
    </row>
    <row r="193" spans="1:6" ht="34.5" customHeight="1">
      <c r="A193" s="9">
        <v>191</v>
      </c>
      <c r="B193" s="10" t="str">
        <f>"544920230704124745101729"</f>
        <v>544920230704124745101729</v>
      </c>
      <c r="C193" s="10" t="s">
        <v>7</v>
      </c>
      <c r="D193" s="10" t="str">
        <f>"张婧"</f>
        <v>张婧</v>
      </c>
      <c r="E193" s="10" t="str">
        <f t="shared" si="5"/>
        <v>女</v>
      </c>
      <c r="F193" s="10" t="str">
        <f>"身份证后四位为1667"</f>
        <v>身份证后四位为1667</v>
      </c>
    </row>
    <row r="194" spans="1:6" ht="34.5" customHeight="1">
      <c r="A194" s="9">
        <v>192</v>
      </c>
      <c r="B194" s="10" t="str">
        <f>"54492023070222154594904"</f>
        <v>54492023070222154594904</v>
      </c>
      <c r="C194" s="10" t="s">
        <v>7</v>
      </c>
      <c r="D194" s="10" t="str">
        <f>"陈朝"</f>
        <v>陈朝</v>
      </c>
      <c r="E194" s="10" t="str">
        <f t="shared" si="5"/>
        <v>女</v>
      </c>
      <c r="F194" s="10"/>
    </row>
    <row r="195" spans="1:6" ht="34.5" customHeight="1">
      <c r="A195" s="9">
        <v>193</v>
      </c>
      <c r="B195" s="10" t="str">
        <f>"544920230704131025101778"</f>
        <v>544920230704131025101778</v>
      </c>
      <c r="C195" s="10" t="s">
        <v>7</v>
      </c>
      <c r="D195" s="10" t="str">
        <f>"赵亚一"</f>
        <v>赵亚一</v>
      </c>
      <c r="E195" s="10" t="str">
        <f t="shared" si="5"/>
        <v>女</v>
      </c>
      <c r="F195" s="10"/>
    </row>
    <row r="196" spans="1:6" ht="34.5" customHeight="1">
      <c r="A196" s="9">
        <v>194</v>
      </c>
      <c r="B196" s="10" t="str">
        <f>"544920230704135004101856"</f>
        <v>544920230704135004101856</v>
      </c>
      <c r="C196" s="10" t="s">
        <v>7</v>
      </c>
      <c r="D196" s="10" t="str">
        <f>"王韦月"</f>
        <v>王韦月</v>
      </c>
      <c r="E196" s="10" t="str">
        <f t="shared" si="5"/>
        <v>女</v>
      </c>
      <c r="F196" s="10"/>
    </row>
    <row r="197" spans="1:6" ht="34.5" customHeight="1">
      <c r="A197" s="9">
        <v>195</v>
      </c>
      <c r="B197" s="10" t="str">
        <f>"544920230704134106101841"</f>
        <v>544920230704134106101841</v>
      </c>
      <c r="C197" s="10" t="s">
        <v>7</v>
      </c>
      <c r="D197" s="10" t="str">
        <f>"李小晶"</f>
        <v>李小晶</v>
      </c>
      <c r="E197" s="10" t="str">
        <f t="shared" si="5"/>
        <v>女</v>
      </c>
      <c r="F197" s="10"/>
    </row>
    <row r="198" spans="1:6" ht="34.5" customHeight="1">
      <c r="A198" s="9">
        <v>196</v>
      </c>
      <c r="B198" s="10" t="str">
        <f>"544920230704141636101911"</f>
        <v>544920230704141636101911</v>
      </c>
      <c r="C198" s="10" t="s">
        <v>7</v>
      </c>
      <c r="D198" s="10" t="str">
        <f>"赵颖"</f>
        <v>赵颖</v>
      </c>
      <c r="E198" s="10" t="str">
        <f t="shared" si="5"/>
        <v>女</v>
      </c>
      <c r="F198" s="10"/>
    </row>
    <row r="199" spans="1:6" ht="34.5" customHeight="1">
      <c r="A199" s="9">
        <v>197</v>
      </c>
      <c r="B199" s="10" t="str">
        <f>"544920230704141647101912"</f>
        <v>544920230704141647101912</v>
      </c>
      <c r="C199" s="10" t="s">
        <v>7</v>
      </c>
      <c r="D199" s="10" t="str">
        <f>"陈婷"</f>
        <v>陈婷</v>
      </c>
      <c r="E199" s="10" t="str">
        <f t="shared" si="5"/>
        <v>女</v>
      </c>
      <c r="F199" s="10" t="str">
        <f>"身份证后四位为0063"</f>
        <v>身份证后四位为0063</v>
      </c>
    </row>
    <row r="200" spans="1:6" ht="34.5" customHeight="1">
      <c r="A200" s="9">
        <v>198</v>
      </c>
      <c r="B200" s="10" t="str">
        <f>"54492023070309482995948"</f>
        <v>54492023070309482995948</v>
      </c>
      <c r="C200" s="10" t="s">
        <v>7</v>
      </c>
      <c r="D200" s="10" t="str">
        <f>"陈少巧"</f>
        <v>陈少巧</v>
      </c>
      <c r="E200" s="10" t="str">
        <f t="shared" si="5"/>
        <v>女</v>
      </c>
      <c r="F200" s="10"/>
    </row>
    <row r="201" spans="1:6" ht="34.5" customHeight="1">
      <c r="A201" s="9">
        <v>199</v>
      </c>
      <c r="B201" s="10" t="str">
        <f>"54492023070308382195358"</f>
        <v>54492023070308382195358</v>
      </c>
      <c r="C201" s="10" t="s">
        <v>7</v>
      </c>
      <c r="D201" s="10" t="str">
        <f>"李雪红"</f>
        <v>李雪红</v>
      </c>
      <c r="E201" s="10" t="str">
        <f t="shared" si="5"/>
        <v>女</v>
      </c>
      <c r="F201" s="10"/>
    </row>
    <row r="202" spans="1:6" ht="34.5" customHeight="1">
      <c r="A202" s="9">
        <v>200</v>
      </c>
      <c r="B202" s="10" t="str">
        <f>"544920230704123202101686"</f>
        <v>544920230704123202101686</v>
      </c>
      <c r="C202" s="10" t="s">
        <v>7</v>
      </c>
      <c r="D202" s="10" t="str">
        <f>"卢周莹"</f>
        <v>卢周莹</v>
      </c>
      <c r="E202" s="10" t="str">
        <f t="shared" si="5"/>
        <v>女</v>
      </c>
      <c r="F202" s="10"/>
    </row>
    <row r="203" spans="1:6" ht="34.5" customHeight="1">
      <c r="A203" s="9">
        <v>201</v>
      </c>
      <c r="B203" s="10" t="str">
        <f>"544920230704144731101987"</f>
        <v>544920230704144731101987</v>
      </c>
      <c r="C203" s="10" t="s">
        <v>7</v>
      </c>
      <c r="D203" s="10" t="str">
        <f>"吴火暖"</f>
        <v>吴火暖</v>
      </c>
      <c r="E203" s="10" t="str">
        <f t="shared" si="5"/>
        <v>女</v>
      </c>
      <c r="F203" s="10"/>
    </row>
    <row r="204" spans="1:6" ht="34.5" customHeight="1">
      <c r="A204" s="9">
        <v>202</v>
      </c>
      <c r="B204" s="10" t="str">
        <f>"544920230704121800101649"</f>
        <v>544920230704121800101649</v>
      </c>
      <c r="C204" s="10" t="s">
        <v>7</v>
      </c>
      <c r="D204" s="10" t="str">
        <f>"周蔚琨"</f>
        <v>周蔚琨</v>
      </c>
      <c r="E204" s="10" t="str">
        <f t="shared" si="5"/>
        <v>女</v>
      </c>
      <c r="F204" s="10"/>
    </row>
    <row r="205" spans="1:6" ht="34.5" customHeight="1">
      <c r="A205" s="9">
        <v>203</v>
      </c>
      <c r="B205" s="10" t="str">
        <f>"544920230704151142102084"</f>
        <v>544920230704151142102084</v>
      </c>
      <c r="C205" s="10" t="s">
        <v>7</v>
      </c>
      <c r="D205" s="10" t="str">
        <f>"邓小豪"</f>
        <v>邓小豪</v>
      </c>
      <c r="E205" s="10" t="str">
        <f>"男"</f>
        <v>男</v>
      </c>
      <c r="F205" s="10"/>
    </row>
    <row r="206" spans="1:6" ht="34.5" customHeight="1">
      <c r="A206" s="9">
        <v>204</v>
      </c>
      <c r="B206" s="10" t="str">
        <f>"544920230704151111102080"</f>
        <v>544920230704151111102080</v>
      </c>
      <c r="C206" s="10" t="s">
        <v>7</v>
      </c>
      <c r="D206" s="10" t="str">
        <f>"陈双花"</f>
        <v>陈双花</v>
      </c>
      <c r="E206" s="10" t="str">
        <f>"女"</f>
        <v>女</v>
      </c>
      <c r="F206" s="10"/>
    </row>
    <row r="207" spans="1:6" ht="34.5" customHeight="1">
      <c r="A207" s="9">
        <v>205</v>
      </c>
      <c r="B207" s="10" t="str">
        <f>"544920230704154023102181"</f>
        <v>544920230704154023102181</v>
      </c>
      <c r="C207" s="10" t="s">
        <v>7</v>
      </c>
      <c r="D207" s="10" t="str">
        <f>"刘慕露"</f>
        <v>刘慕露</v>
      </c>
      <c r="E207" s="10" t="str">
        <f>"女"</f>
        <v>女</v>
      </c>
      <c r="F207" s="10"/>
    </row>
    <row r="208" spans="1:6" ht="34.5" customHeight="1">
      <c r="A208" s="9">
        <v>206</v>
      </c>
      <c r="B208" s="10" t="str">
        <f>"544920230704154237102193"</f>
        <v>544920230704154237102193</v>
      </c>
      <c r="C208" s="10" t="s">
        <v>7</v>
      </c>
      <c r="D208" s="10" t="str">
        <f>"陈亚燕"</f>
        <v>陈亚燕</v>
      </c>
      <c r="E208" s="10" t="str">
        <f>"女"</f>
        <v>女</v>
      </c>
      <c r="F208" s="10"/>
    </row>
    <row r="209" spans="1:6" ht="34.5" customHeight="1">
      <c r="A209" s="9">
        <v>207</v>
      </c>
      <c r="B209" s="10" t="str">
        <f>"544920230704084009100628"</f>
        <v>544920230704084009100628</v>
      </c>
      <c r="C209" s="10" t="s">
        <v>7</v>
      </c>
      <c r="D209" s="10" t="str">
        <f>"王钦洋"</f>
        <v>王钦洋</v>
      </c>
      <c r="E209" s="10" t="str">
        <f>"男"</f>
        <v>男</v>
      </c>
      <c r="F209" s="10"/>
    </row>
    <row r="210" spans="1:6" ht="34.5" customHeight="1">
      <c r="A210" s="9">
        <v>208</v>
      </c>
      <c r="B210" s="10" t="str">
        <f>"544920230704153807102172"</f>
        <v>544920230704153807102172</v>
      </c>
      <c r="C210" s="10" t="s">
        <v>7</v>
      </c>
      <c r="D210" s="10" t="str">
        <f>"符燕"</f>
        <v>符燕</v>
      </c>
      <c r="E210" s="10" t="str">
        <f aca="true" t="shared" si="6" ref="E210:E219">"女"</f>
        <v>女</v>
      </c>
      <c r="F210" s="10"/>
    </row>
    <row r="211" spans="1:6" ht="34.5" customHeight="1">
      <c r="A211" s="9">
        <v>209</v>
      </c>
      <c r="B211" s="10" t="str">
        <f>"544920230704085712100688"</f>
        <v>544920230704085712100688</v>
      </c>
      <c r="C211" s="10" t="s">
        <v>7</v>
      </c>
      <c r="D211" s="10" t="str">
        <f>"叶蕾"</f>
        <v>叶蕾</v>
      </c>
      <c r="E211" s="10" t="str">
        <f t="shared" si="6"/>
        <v>女</v>
      </c>
      <c r="F211" s="10"/>
    </row>
    <row r="212" spans="1:6" ht="34.5" customHeight="1">
      <c r="A212" s="9">
        <v>210</v>
      </c>
      <c r="B212" s="10" t="str">
        <f>"544920230704160214102262"</f>
        <v>544920230704160214102262</v>
      </c>
      <c r="C212" s="10" t="s">
        <v>7</v>
      </c>
      <c r="D212" s="10" t="str">
        <f>"黎小云"</f>
        <v>黎小云</v>
      </c>
      <c r="E212" s="10" t="str">
        <f t="shared" si="6"/>
        <v>女</v>
      </c>
      <c r="F212" s="10"/>
    </row>
    <row r="213" spans="1:6" ht="34.5" customHeight="1">
      <c r="A213" s="9">
        <v>211</v>
      </c>
      <c r="B213" s="10" t="str">
        <f>"544920230704160454102270"</f>
        <v>544920230704160454102270</v>
      </c>
      <c r="C213" s="10" t="s">
        <v>7</v>
      </c>
      <c r="D213" s="10" t="str">
        <f>"王海师"</f>
        <v>王海师</v>
      </c>
      <c r="E213" s="10" t="str">
        <f t="shared" si="6"/>
        <v>女</v>
      </c>
      <c r="F213" s="10"/>
    </row>
    <row r="214" spans="1:6" ht="34.5" customHeight="1">
      <c r="A214" s="9">
        <v>212</v>
      </c>
      <c r="B214" s="10" t="str">
        <f>"544920230704160241102265"</f>
        <v>544920230704160241102265</v>
      </c>
      <c r="C214" s="10" t="s">
        <v>7</v>
      </c>
      <c r="D214" s="10" t="str">
        <f>"林妍"</f>
        <v>林妍</v>
      </c>
      <c r="E214" s="10" t="str">
        <f t="shared" si="6"/>
        <v>女</v>
      </c>
      <c r="F214" s="10"/>
    </row>
    <row r="215" spans="1:6" ht="34.5" customHeight="1">
      <c r="A215" s="9">
        <v>213</v>
      </c>
      <c r="B215" s="10" t="str">
        <f>"544920230704162543102332"</f>
        <v>544920230704162543102332</v>
      </c>
      <c r="C215" s="10" t="s">
        <v>7</v>
      </c>
      <c r="D215" s="10" t="str">
        <f>"苻亚胜"</f>
        <v>苻亚胜</v>
      </c>
      <c r="E215" s="10" t="str">
        <f t="shared" si="6"/>
        <v>女</v>
      </c>
      <c r="F215" s="10"/>
    </row>
    <row r="216" spans="1:6" ht="34.5" customHeight="1">
      <c r="A216" s="9">
        <v>214</v>
      </c>
      <c r="B216" s="10" t="str">
        <f>"544920230704160742102280"</f>
        <v>544920230704160742102280</v>
      </c>
      <c r="C216" s="10" t="s">
        <v>7</v>
      </c>
      <c r="D216" s="10" t="str">
        <f>"符升炜"</f>
        <v>符升炜</v>
      </c>
      <c r="E216" s="10" t="str">
        <f t="shared" si="6"/>
        <v>女</v>
      </c>
      <c r="F216" s="10"/>
    </row>
    <row r="217" spans="1:6" ht="34.5" customHeight="1">
      <c r="A217" s="9">
        <v>215</v>
      </c>
      <c r="B217" s="10" t="str">
        <f>"544920230704075453100494"</f>
        <v>544920230704075453100494</v>
      </c>
      <c r="C217" s="10" t="s">
        <v>7</v>
      </c>
      <c r="D217" s="10" t="str">
        <f>"周心慧"</f>
        <v>周心慧</v>
      </c>
      <c r="E217" s="10" t="str">
        <f t="shared" si="6"/>
        <v>女</v>
      </c>
      <c r="F217" s="10"/>
    </row>
    <row r="218" spans="1:6" ht="34.5" customHeight="1">
      <c r="A218" s="9">
        <v>216</v>
      </c>
      <c r="B218" s="10" t="str">
        <f>"544920230704163201102353"</f>
        <v>544920230704163201102353</v>
      </c>
      <c r="C218" s="10" t="s">
        <v>7</v>
      </c>
      <c r="D218" s="10" t="str">
        <f>"王湘怡"</f>
        <v>王湘怡</v>
      </c>
      <c r="E218" s="10" t="str">
        <f t="shared" si="6"/>
        <v>女</v>
      </c>
      <c r="F218" s="10"/>
    </row>
    <row r="219" spans="1:6" ht="34.5" customHeight="1">
      <c r="A219" s="9">
        <v>217</v>
      </c>
      <c r="B219" s="10" t="str">
        <f>"544920230704162644102338"</f>
        <v>544920230704162644102338</v>
      </c>
      <c r="C219" s="10" t="s">
        <v>7</v>
      </c>
      <c r="D219" s="10" t="str">
        <f>"陈慧"</f>
        <v>陈慧</v>
      </c>
      <c r="E219" s="10" t="str">
        <f t="shared" si="6"/>
        <v>女</v>
      </c>
      <c r="F219" s="10"/>
    </row>
    <row r="220" spans="1:6" ht="34.5" customHeight="1">
      <c r="A220" s="9">
        <v>218</v>
      </c>
      <c r="B220" s="10" t="str">
        <f>"54492023070316274898322"</f>
        <v>54492023070316274898322</v>
      </c>
      <c r="C220" s="10" t="s">
        <v>7</v>
      </c>
      <c r="D220" s="10" t="str">
        <f>"曹紫元"</f>
        <v>曹紫元</v>
      </c>
      <c r="E220" s="10" t="str">
        <f>"男"</f>
        <v>男</v>
      </c>
      <c r="F220" s="10"/>
    </row>
    <row r="221" spans="1:6" ht="34.5" customHeight="1">
      <c r="A221" s="9">
        <v>219</v>
      </c>
      <c r="B221" s="10" t="str">
        <f>"544920230704164221102383"</f>
        <v>544920230704164221102383</v>
      </c>
      <c r="C221" s="10" t="s">
        <v>7</v>
      </c>
      <c r="D221" s="10" t="str">
        <f>"田梦雅"</f>
        <v>田梦雅</v>
      </c>
      <c r="E221" s="10" t="str">
        <f aca="true" t="shared" si="7" ref="E221:E244">"女"</f>
        <v>女</v>
      </c>
      <c r="F221" s="10"/>
    </row>
    <row r="222" spans="1:6" ht="34.5" customHeight="1">
      <c r="A222" s="9">
        <v>220</v>
      </c>
      <c r="B222" s="10" t="str">
        <f>"544920230704164945102404"</f>
        <v>544920230704164945102404</v>
      </c>
      <c r="C222" s="10" t="s">
        <v>7</v>
      </c>
      <c r="D222" s="10" t="str">
        <f>"王晶晶"</f>
        <v>王晶晶</v>
      </c>
      <c r="E222" s="10" t="str">
        <f t="shared" si="7"/>
        <v>女</v>
      </c>
      <c r="F222" s="10"/>
    </row>
    <row r="223" spans="1:6" ht="34.5" customHeight="1">
      <c r="A223" s="9">
        <v>221</v>
      </c>
      <c r="B223" s="10" t="str">
        <f>"544920230704164130102377"</f>
        <v>544920230704164130102377</v>
      </c>
      <c r="C223" s="10" t="s">
        <v>7</v>
      </c>
      <c r="D223" s="10" t="str">
        <f>"范裕珠"</f>
        <v>范裕珠</v>
      </c>
      <c r="E223" s="10" t="str">
        <f t="shared" si="7"/>
        <v>女</v>
      </c>
      <c r="F223" s="10"/>
    </row>
    <row r="224" spans="1:6" ht="34.5" customHeight="1">
      <c r="A224" s="9">
        <v>222</v>
      </c>
      <c r="B224" s="10" t="str">
        <f>"544920230704165559102428"</f>
        <v>544920230704165559102428</v>
      </c>
      <c r="C224" s="10" t="s">
        <v>7</v>
      </c>
      <c r="D224" s="10" t="str">
        <f>"林越飞"</f>
        <v>林越飞</v>
      </c>
      <c r="E224" s="10" t="str">
        <f t="shared" si="7"/>
        <v>女</v>
      </c>
      <c r="F224" s="10"/>
    </row>
    <row r="225" spans="1:6" ht="34.5" customHeight="1">
      <c r="A225" s="9">
        <v>223</v>
      </c>
      <c r="B225" s="10" t="str">
        <f>"544920230704170804102468"</f>
        <v>544920230704170804102468</v>
      </c>
      <c r="C225" s="10" t="s">
        <v>7</v>
      </c>
      <c r="D225" s="10" t="str">
        <f>"梁盈盈"</f>
        <v>梁盈盈</v>
      </c>
      <c r="E225" s="10" t="str">
        <f t="shared" si="7"/>
        <v>女</v>
      </c>
      <c r="F225" s="10"/>
    </row>
    <row r="226" spans="1:6" ht="34.5" customHeight="1">
      <c r="A226" s="9">
        <v>224</v>
      </c>
      <c r="B226" s="10" t="str">
        <f>"54492023070315150097877"</f>
        <v>54492023070315150097877</v>
      </c>
      <c r="C226" s="10" t="s">
        <v>7</v>
      </c>
      <c r="D226" s="10" t="str">
        <f>"周暖暖"</f>
        <v>周暖暖</v>
      </c>
      <c r="E226" s="10" t="str">
        <f t="shared" si="7"/>
        <v>女</v>
      </c>
      <c r="F226" s="10"/>
    </row>
    <row r="227" spans="1:6" ht="34.5" customHeight="1">
      <c r="A227" s="9">
        <v>225</v>
      </c>
      <c r="B227" s="10" t="str">
        <f>"544920230704130500101762"</f>
        <v>544920230704130500101762</v>
      </c>
      <c r="C227" s="10" t="s">
        <v>7</v>
      </c>
      <c r="D227" s="10" t="str">
        <f>"张彩茜"</f>
        <v>张彩茜</v>
      </c>
      <c r="E227" s="10" t="str">
        <f t="shared" si="7"/>
        <v>女</v>
      </c>
      <c r="F227" s="10"/>
    </row>
    <row r="228" spans="1:6" ht="34.5" customHeight="1">
      <c r="A228" s="9">
        <v>226</v>
      </c>
      <c r="B228" s="10" t="str">
        <f>"544920230704173050102541"</f>
        <v>544920230704173050102541</v>
      </c>
      <c r="C228" s="10" t="s">
        <v>7</v>
      </c>
      <c r="D228" s="10" t="str">
        <f>"黄天然"</f>
        <v>黄天然</v>
      </c>
      <c r="E228" s="10" t="str">
        <f t="shared" si="7"/>
        <v>女</v>
      </c>
      <c r="F228" s="10"/>
    </row>
    <row r="229" spans="1:6" ht="34.5" customHeight="1">
      <c r="A229" s="9">
        <v>227</v>
      </c>
      <c r="B229" s="10" t="str">
        <f>"544920230704165711102433"</f>
        <v>544920230704165711102433</v>
      </c>
      <c r="C229" s="10" t="s">
        <v>7</v>
      </c>
      <c r="D229" s="10" t="str">
        <f>"吴思怡"</f>
        <v>吴思怡</v>
      </c>
      <c r="E229" s="10" t="str">
        <f t="shared" si="7"/>
        <v>女</v>
      </c>
      <c r="F229" s="10"/>
    </row>
    <row r="230" spans="1:6" ht="34.5" customHeight="1">
      <c r="A230" s="9">
        <v>228</v>
      </c>
      <c r="B230" s="10" t="str">
        <f>"544920230704175025102592"</f>
        <v>544920230704175025102592</v>
      </c>
      <c r="C230" s="10" t="s">
        <v>7</v>
      </c>
      <c r="D230" s="10" t="str">
        <f>"符佳琦"</f>
        <v>符佳琦</v>
      </c>
      <c r="E230" s="10" t="str">
        <f t="shared" si="7"/>
        <v>女</v>
      </c>
      <c r="F230" s="10"/>
    </row>
    <row r="231" spans="1:6" ht="34.5" customHeight="1">
      <c r="A231" s="9">
        <v>229</v>
      </c>
      <c r="B231" s="10" t="str">
        <f>"544920230704174020102566"</f>
        <v>544920230704174020102566</v>
      </c>
      <c r="C231" s="10" t="s">
        <v>7</v>
      </c>
      <c r="D231" s="10" t="str">
        <f>"林舒"</f>
        <v>林舒</v>
      </c>
      <c r="E231" s="10" t="str">
        <f t="shared" si="7"/>
        <v>女</v>
      </c>
      <c r="F231" s="10"/>
    </row>
    <row r="232" spans="1:6" ht="34.5" customHeight="1">
      <c r="A232" s="9">
        <v>230</v>
      </c>
      <c r="B232" s="10" t="str">
        <f>"544920230704163943102370"</f>
        <v>544920230704163943102370</v>
      </c>
      <c r="C232" s="10" t="s">
        <v>7</v>
      </c>
      <c r="D232" s="10" t="str">
        <f>"陈尼"</f>
        <v>陈尼</v>
      </c>
      <c r="E232" s="10" t="str">
        <f t="shared" si="7"/>
        <v>女</v>
      </c>
      <c r="F232" s="10"/>
    </row>
    <row r="233" spans="1:6" ht="34.5" customHeight="1">
      <c r="A233" s="9">
        <v>231</v>
      </c>
      <c r="B233" s="10" t="str">
        <f>"544920230704152624102134"</f>
        <v>544920230704152624102134</v>
      </c>
      <c r="C233" s="10" t="s">
        <v>7</v>
      </c>
      <c r="D233" s="10" t="str">
        <f>"罗才漾"</f>
        <v>罗才漾</v>
      </c>
      <c r="E233" s="10" t="str">
        <f t="shared" si="7"/>
        <v>女</v>
      </c>
      <c r="F233" s="10"/>
    </row>
    <row r="234" spans="1:6" ht="34.5" customHeight="1">
      <c r="A234" s="9">
        <v>232</v>
      </c>
      <c r="B234" s="10" t="str">
        <f>"544920230704184523102742"</f>
        <v>544920230704184523102742</v>
      </c>
      <c r="C234" s="10" t="s">
        <v>7</v>
      </c>
      <c r="D234" s="10" t="str">
        <f>"卢张连"</f>
        <v>卢张连</v>
      </c>
      <c r="E234" s="10" t="str">
        <f t="shared" si="7"/>
        <v>女</v>
      </c>
      <c r="F234" s="10"/>
    </row>
    <row r="235" spans="1:6" ht="34.5" customHeight="1">
      <c r="A235" s="9">
        <v>233</v>
      </c>
      <c r="B235" s="10" t="str">
        <f>"544920230704183044102698"</f>
        <v>544920230704183044102698</v>
      </c>
      <c r="C235" s="10" t="s">
        <v>7</v>
      </c>
      <c r="D235" s="10" t="str">
        <f>"王贞云"</f>
        <v>王贞云</v>
      </c>
      <c r="E235" s="10" t="str">
        <f t="shared" si="7"/>
        <v>女</v>
      </c>
      <c r="F235" s="10"/>
    </row>
    <row r="236" spans="1:6" ht="34.5" customHeight="1">
      <c r="A236" s="9">
        <v>234</v>
      </c>
      <c r="B236" s="10" t="str">
        <f>"544920230704185652102778"</f>
        <v>544920230704185652102778</v>
      </c>
      <c r="C236" s="10" t="s">
        <v>7</v>
      </c>
      <c r="D236" s="10" t="str">
        <f>"张晔"</f>
        <v>张晔</v>
      </c>
      <c r="E236" s="10" t="str">
        <f t="shared" si="7"/>
        <v>女</v>
      </c>
      <c r="F236" s="10"/>
    </row>
    <row r="237" spans="1:6" ht="34.5" customHeight="1">
      <c r="A237" s="9">
        <v>235</v>
      </c>
      <c r="B237" s="10" t="str">
        <f>"544920230704185811102781"</f>
        <v>544920230704185811102781</v>
      </c>
      <c r="C237" s="10" t="s">
        <v>7</v>
      </c>
      <c r="D237" s="10" t="str">
        <f>"黄晶"</f>
        <v>黄晶</v>
      </c>
      <c r="E237" s="10" t="str">
        <f t="shared" si="7"/>
        <v>女</v>
      </c>
      <c r="F237" s="10"/>
    </row>
    <row r="238" spans="1:6" ht="34.5" customHeight="1">
      <c r="A238" s="9">
        <v>236</v>
      </c>
      <c r="B238" s="10" t="str">
        <f>"544920230704190843102802"</f>
        <v>544920230704190843102802</v>
      </c>
      <c r="C238" s="10" t="s">
        <v>7</v>
      </c>
      <c r="D238" s="10" t="str">
        <f>"李文珍"</f>
        <v>李文珍</v>
      </c>
      <c r="E238" s="10" t="str">
        <f t="shared" si="7"/>
        <v>女</v>
      </c>
      <c r="F238" s="10"/>
    </row>
    <row r="239" spans="1:6" ht="34.5" customHeight="1">
      <c r="A239" s="9">
        <v>237</v>
      </c>
      <c r="B239" s="10" t="str">
        <f>"544920230704192226102834"</f>
        <v>544920230704192226102834</v>
      </c>
      <c r="C239" s="10" t="s">
        <v>7</v>
      </c>
      <c r="D239" s="10" t="str">
        <f>"王花"</f>
        <v>王花</v>
      </c>
      <c r="E239" s="10" t="str">
        <f t="shared" si="7"/>
        <v>女</v>
      </c>
      <c r="F239" s="10"/>
    </row>
    <row r="240" spans="1:6" ht="34.5" customHeight="1">
      <c r="A240" s="9">
        <v>238</v>
      </c>
      <c r="B240" s="10" t="str">
        <f>"544920230704191315102810"</f>
        <v>544920230704191315102810</v>
      </c>
      <c r="C240" s="10" t="s">
        <v>7</v>
      </c>
      <c r="D240" s="10" t="str">
        <f>"孟泽镜"</f>
        <v>孟泽镜</v>
      </c>
      <c r="E240" s="10" t="str">
        <f t="shared" si="7"/>
        <v>女</v>
      </c>
      <c r="F240" s="10"/>
    </row>
    <row r="241" spans="1:6" ht="34.5" customHeight="1">
      <c r="A241" s="9">
        <v>239</v>
      </c>
      <c r="B241" s="10" t="str">
        <f>"544920230704113126101472"</f>
        <v>544920230704113126101472</v>
      </c>
      <c r="C241" s="10" t="s">
        <v>7</v>
      </c>
      <c r="D241" s="10" t="str">
        <f>"何传凤"</f>
        <v>何传凤</v>
      </c>
      <c r="E241" s="10" t="str">
        <f t="shared" si="7"/>
        <v>女</v>
      </c>
      <c r="F241" s="10"/>
    </row>
    <row r="242" spans="1:6" ht="34.5" customHeight="1">
      <c r="A242" s="9">
        <v>240</v>
      </c>
      <c r="B242" s="10" t="str">
        <f>"544920230704203100102994"</f>
        <v>544920230704203100102994</v>
      </c>
      <c r="C242" s="10" t="s">
        <v>7</v>
      </c>
      <c r="D242" s="10" t="str">
        <f>"陈星洁"</f>
        <v>陈星洁</v>
      </c>
      <c r="E242" s="10" t="str">
        <f t="shared" si="7"/>
        <v>女</v>
      </c>
      <c r="F242" s="10"/>
    </row>
    <row r="243" spans="1:6" ht="34.5" customHeight="1">
      <c r="A243" s="9">
        <v>241</v>
      </c>
      <c r="B243" s="10" t="str">
        <f>"54492023070321324999709"</f>
        <v>54492023070321324999709</v>
      </c>
      <c r="C243" s="10" t="s">
        <v>7</v>
      </c>
      <c r="D243" s="10" t="str">
        <f>"刘语嫣"</f>
        <v>刘语嫣</v>
      </c>
      <c r="E243" s="10" t="str">
        <f t="shared" si="7"/>
        <v>女</v>
      </c>
      <c r="F243" s="10"/>
    </row>
    <row r="244" spans="1:6" ht="34.5" customHeight="1">
      <c r="A244" s="9">
        <v>242</v>
      </c>
      <c r="B244" s="10" t="str">
        <f>"544920230704122909101678"</f>
        <v>544920230704122909101678</v>
      </c>
      <c r="C244" s="10" t="s">
        <v>7</v>
      </c>
      <c r="D244" s="10" t="str">
        <f>"方小霜"</f>
        <v>方小霜</v>
      </c>
      <c r="E244" s="10" t="str">
        <f t="shared" si="7"/>
        <v>女</v>
      </c>
      <c r="F244" s="10"/>
    </row>
    <row r="245" spans="1:6" ht="34.5" customHeight="1">
      <c r="A245" s="9">
        <v>243</v>
      </c>
      <c r="B245" s="10" t="str">
        <f>"54492023070314542397752"</f>
        <v>54492023070314542397752</v>
      </c>
      <c r="C245" s="10" t="s">
        <v>7</v>
      </c>
      <c r="D245" s="10" t="str">
        <f>"张鑫"</f>
        <v>张鑫</v>
      </c>
      <c r="E245" s="10" t="str">
        <f>"男"</f>
        <v>男</v>
      </c>
      <c r="F245" s="10"/>
    </row>
    <row r="246" spans="1:6" ht="34.5" customHeight="1">
      <c r="A246" s="9">
        <v>244</v>
      </c>
      <c r="B246" s="10" t="str">
        <f>"544920230704204457103019"</f>
        <v>544920230704204457103019</v>
      </c>
      <c r="C246" s="10" t="s">
        <v>7</v>
      </c>
      <c r="D246" s="10" t="str">
        <f>"郭小榕"</f>
        <v>郭小榕</v>
      </c>
      <c r="E246" s="10" t="str">
        <f aca="true" t="shared" si="8" ref="E246:E309">"女"</f>
        <v>女</v>
      </c>
      <c r="F246" s="10"/>
    </row>
    <row r="247" spans="1:6" ht="34.5" customHeight="1">
      <c r="A247" s="9">
        <v>245</v>
      </c>
      <c r="B247" s="10" t="str">
        <f>"544920230704205549103041"</f>
        <v>544920230704205549103041</v>
      </c>
      <c r="C247" s="10" t="s">
        <v>7</v>
      </c>
      <c r="D247" s="10" t="str">
        <f>"吴雪萍"</f>
        <v>吴雪萍</v>
      </c>
      <c r="E247" s="10" t="str">
        <f t="shared" si="8"/>
        <v>女</v>
      </c>
      <c r="F247" s="10"/>
    </row>
    <row r="248" spans="1:6" ht="34.5" customHeight="1">
      <c r="A248" s="9">
        <v>246</v>
      </c>
      <c r="B248" s="10" t="str">
        <f>"54492023070316563798506"</f>
        <v>54492023070316563798506</v>
      </c>
      <c r="C248" s="10" t="s">
        <v>7</v>
      </c>
      <c r="D248" s="10" t="str">
        <f>"吕悦心"</f>
        <v>吕悦心</v>
      </c>
      <c r="E248" s="10" t="str">
        <f t="shared" si="8"/>
        <v>女</v>
      </c>
      <c r="F248" s="10"/>
    </row>
    <row r="249" spans="1:6" ht="34.5" customHeight="1">
      <c r="A249" s="9">
        <v>247</v>
      </c>
      <c r="B249" s="10" t="str">
        <f>"544920230704210824103071"</f>
        <v>544920230704210824103071</v>
      </c>
      <c r="C249" s="10" t="s">
        <v>7</v>
      </c>
      <c r="D249" s="10" t="str">
        <f>"王华月"</f>
        <v>王华月</v>
      </c>
      <c r="E249" s="10" t="str">
        <f t="shared" si="8"/>
        <v>女</v>
      </c>
      <c r="F249" s="10"/>
    </row>
    <row r="250" spans="1:6" ht="34.5" customHeight="1">
      <c r="A250" s="9">
        <v>248</v>
      </c>
      <c r="B250" s="10" t="str">
        <f>"54492023070211043693285"</f>
        <v>54492023070211043693285</v>
      </c>
      <c r="C250" s="10" t="s">
        <v>7</v>
      </c>
      <c r="D250" s="10" t="str">
        <f>"符式霞"</f>
        <v>符式霞</v>
      </c>
      <c r="E250" s="10" t="str">
        <f t="shared" si="8"/>
        <v>女</v>
      </c>
      <c r="F250" s="10"/>
    </row>
    <row r="251" spans="1:6" ht="34.5" customHeight="1">
      <c r="A251" s="9">
        <v>249</v>
      </c>
      <c r="B251" s="10" t="str">
        <f>"544920230704211356103088"</f>
        <v>544920230704211356103088</v>
      </c>
      <c r="C251" s="10" t="s">
        <v>7</v>
      </c>
      <c r="D251" s="10" t="str">
        <f>"黄媛媛"</f>
        <v>黄媛媛</v>
      </c>
      <c r="E251" s="10" t="str">
        <f t="shared" si="8"/>
        <v>女</v>
      </c>
      <c r="F251" s="10"/>
    </row>
    <row r="252" spans="1:6" ht="34.5" customHeight="1">
      <c r="A252" s="9">
        <v>250</v>
      </c>
      <c r="B252" s="10" t="str">
        <f>"544920230704212229103112"</f>
        <v>544920230704212229103112</v>
      </c>
      <c r="C252" s="10" t="s">
        <v>7</v>
      </c>
      <c r="D252" s="10" t="str">
        <f>"云艳苗"</f>
        <v>云艳苗</v>
      </c>
      <c r="E252" s="10" t="str">
        <f t="shared" si="8"/>
        <v>女</v>
      </c>
      <c r="F252" s="10"/>
    </row>
    <row r="253" spans="1:6" ht="34.5" customHeight="1">
      <c r="A253" s="9">
        <v>251</v>
      </c>
      <c r="B253" s="10" t="str">
        <f>"544920230704213139103135"</f>
        <v>544920230704213139103135</v>
      </c>
      <c r="C253" s="10" t="s">
        <v>7</v>
      </c>
      <c r="D253" s="10" t="str">
        <f>"林静"</f>
        <v>林静</v>
      </c>
      <c r="E253" s="10" t="str">
        <f t="shared" si="8"/>
        <v>女</v>
      </c>
      <c r="F253" s="10"/>
    </row>
    <row r="254" spans="1:6" ht="34.5" customHeight="1">
      <c r="A254" s="9">
        <v>252</v>
      </c>
      <c r="B254" s="10" t="str">
        <f>"544920230704214212103161"</f>
        <v>544920230704214212103161</v>
      </c>
      <c r="C254" s="10" t="s">
        <v>7</v>
      </c>
      <c r="D254" s="10" t="str">
        <f>"羊芷依"</f>
        <v>羊芷依</v>
      </c>
      <c r="E254" s="10" t="str">
        <f t="shared" si="8"/>
        <v>女</v>
      </c>
      <c r="F254" s="10"/>
    </row>
    <row r="255" spans="1:6" ht="34.5" customHeight="1">
      <c r="A255" s="9">
        <v>253</v>
      </c>
      <c r="B255" s="10" t="str">
        <f>"544920230704212557103124"</f>
        <v>544920230704212557103124</v>
      </c>
      <c r="C255" s="10" t="s">
        <v>7</v>
      </c>
      <c r="D255" s="10" t="str">
        <f>"刘岩"</f>
        <v>刘岩</v>
      </c>
      <c r="E255" s="10" t="str">
        <f t="shared" si="8"/>
        <v>女</v>
      </c>
      <c r="F255" s="10"/>
    </row>
    <row r="256" spans="1:6" ht="34.5" customHeight="1">
      <c r="A256" s="9">
        <v>254</v>
      </c>
      <c r="B256" s="10" t="str">
        <f>"544920230704214850103186"</f>
        <v>544920230704214850103186</v>
      </c>
      <c r="C256" s="10" t="s">
        <v>7</v>
      </c>
      <c r="D256" s="10" t="str">
        <f>"谢媚"</f>
        <v>谢媚</v>
      </c>
      <c r="E256" s="10" t="str">
        <f t="shared" si="8"/>
        <v>女</v>
      </c>
      <c r="F256" s="10"/>
    </row>
    <row r="257" spans="1:6" ht="34.5" customHeight="1">
      <c r="A257" s="9">
        <v>255</v>
      </c>
      <c r="B257" s="10" t="str">
        <f>"544920230704123248101687"</f>
        <v>544920230704123248101687</v>
      </c>
      <c r="C257" s="10" t="s">
        <v>7</v>
      </c>
      <c r="D257" s="10" t="str">
        <f>"蔡风怡"</f>
        <v>蔡风怡</v>
      </c>
      <c r="E257" s="10" t="str">
        <f t="shared" si="8"/>
        <v>女</v>
      </c>
      <c r="F257" s="10"/>
    </row>
    <row r="258" spans="1:6" ht="34.5" customHeight="1">
      <c r="A258" s="9">
        <v>256</v>
      </c>
      <c r="B258" s="10" t="str">
        <f>"544920230704213958103154"</f>
        <v>544920230704213958103154</v>
      </c>
      <c r="C258" s="10" t="s">
        <v>7</v>
      </c>
      <c r="D258" s="10" t="str">
        <f>"郑芳林"</f>
        <v>郑芳林</v>
      </c>
      <c r="E258" s="10" t="str">
        <f t="shared" si="8"/>
        <v>女</v>
      </c>
      <c r="F258" s="10"/>
    </row>
    <row r="259" spans="1:6" ht="34.5" customHeight="1">
      <c r="A259" s="9">
        <v>257</v>
      </c>
      <c r="B259" s="10" t="str">
        <f>"54492023070315270797964"</f>
        <v>54492023070315270797964</v>
      </c>
      <c r="C259" s="10" t="s">
        <v>7</v>
      </c>
      <c r="D259" s="10" t="str">
        <f>"王敏"</f>
        <v>王敏</v>
      </c>
      <c r="E259" s="10" t="str">
        <f t="shared" si="8"/>
        <v>女</v>
      </c>
      <c r="F259" s="10"/>
    </row>
    <row r="260" spans="1:6" ht="34.5" customHeight="1">
      <c r="A260" s="9">
        <v>258</v>
      </c>
      <c r="B260" s="10" t="str">
        <f>"544920230704220022103216"</f>
        <v>544920230704220022103216</v>
      </c>
      <c r="C260" s="10" t="s">
        <v>7</v>
      </c>
      <c r="D260" s="10" t="str">
        <f>"刘晴晴"</f>
        <v>刘晴晴</v>
      </c>
      <c r="E260" s="10" t="str">
        <f t="shared" si="8"/>
        <v>女</v>
      </c>
      <c r="F260" s="10"/>
    </row>
    <row r="261" spans="1:6" ht="34.5" customHeight="1">
      <c r="A261" s="9">
        <v>259</v>
      </c>
      <c r="B261" s="10" t="str">
        <f>"544920230704215936103214"</f>
        <v>544920230704215936103214</v>
      </c>
      <c r="C261" s="10" t="s">
        <v>7</v>
      </c>
      <c r="D261" s="10" t="str">
        <f>"左炎炎"</f>
        <v>左炎炎</v>
      </c>
      <c r="E261" s="10" t="str">
        <f t="shared" si="8"/>
        <v>女</v>
      </c>
      <c r="F261" s="10"/>
    </row>
    <row r="262" spans="1:6" ht="34.5" customHeight="1">
      <c r="A262" s="9">
        <v>260</v>
      </c>
      <c r="B262" s="10" t="str">
        <f>"54492023070308075195278"</f>
        <v>54492023070308075195278</v>
      </c>
      <c r="C262" s="10" t="s">
        <v>7</v>
      </c>
      <c r="D262" s="10" t="str">
        <f>"黎菊女"</f>
        <v>黎菊女</v>
      </c>
      <c r="E262" s="10" t="str">
        <f t="shared" si="8"/>
        <v>女</v>
      </c>
      <c r="F262" s="10"/>
    </row>
    <row r="263" spans="1:6" ht="34.5" customHeight="1">
      <c r="A263" s="9">
        <v>261</v>
      </c>
      <c r="B263" s="10" t="str">
        <f>"54492023070310595596521"</f>
        <v>54492023070310595596521</v>
      </c>
      <c r="C263" s="10" t="s">
        <v>7</v>
      </c>
      <c r="D263" s="10" t="str">
        <f>"郑安利"</f>
        <v>郑安利</v>
      </c>
      <c r="E263" s="10" t="str">
        <f t="shared" si="8"/>
        <v>女</v>
      </c>
      <c r="F263" s="10"/>
    </row>
    <row r="264" spans="1:6" ht="34.5" customHeight="1">
      <c r="A264" s="9">
        <v>262</v>
      </c>
      <c r="B264" s="10" t="str">
        <f>"54492023070209143392979"</f>
        <v>54492023070209143392979</v>
      </c>
      <c r="C264" s="10" t="s">
        <v>7</v>
      </c>
      <c r="D264" s="10" t="str">
        <f>"文欣然"</f>
        <v>文欣然</v>
      </c>
      <c r="E264" s="10" t="str">
        <f t="shared" si="8"/>
        <v>女</v>
      </c>
      <c r="F264" s="10"/>
    </row>
    <row r="265" spans="1:6" ht="34.5" customHeight="1">
      <c r="A265" s="9">
        <v>263</v>
      </c>
      <c r="B265" s="10" t="str">
        <f>"54492023070320224199333"</f>
        <v>54492023070320224199333</v>
      </c>
      <c r="C265" s="10" t="s">
        <v>7</v>
      </c>
      <c r="D265" s="10" t="str">
        <f>"马婧"</f>
        <v>马婧</v>
      </c>
      <c r="E265" s="10" t="str">
        <f t="shared" si="8"/>
        <v>女</v>
      </c>
      <c r="F265" s="10"/>
    </row>
    <row r="266" spans="1:6" ht="34.5" customHeight="1">
      <c r="A266" s="9">
        <v>264</v>
      </c>
      <c r="B266" s="10" t="str">
        <f>"544920230704225237103352"</f>
        <v>544920230704225237103352</v>
      </c>
      <c r="C266" s="10" t="s">
        <v>7</v>
      </c>
      <c r="D266" s="10" t="str">
        <f>"林仙"</f>
        <v>林仙</v>
      </c>
      <c r="E266" s="10" t="str">
        <f t="shared" si="8"/>
        <v>女</v>
      </c>
      <c r="F266" s="10"/>
    </row>
    <row r="267" spans="1:6" ht="34.5" customHeight="1">
      <c r="A267" s="9">
        <v>265</v>
      </c>
      <c r="B267" s="10" t="str">
        <f>"544920230704230426103377"</f>
        <v>544920230704230426103377</v>
      </c>
      <c r="C267" s="10" t="s">
        <v>7</v>
      </c>
      <c r="D267" s="10" t="str">
        <f>"邓海霞"</f>
        <v>邓海霞</v>
      </c>
      <c r="E267" s="10" t="str">
        <f t="shared" si="8"/>
        <v>女</v>
      </c>
      <c r="F267" s="10"/>
    </row>
    <row r="268" spans="1:6" ht="34.5" customHeight="1">
      <c r="A268" s="9">
        <v>266</v>
      </c>
      <c r="B268" s="10" t="str">
        <f>"544920230705000145103464"</f>
        <v>544920230705000145103464</v>
      </c>
      <c r="C268" s="10" t="s">
        <v>7</v>
      </c>
      <c r="D268" s="10" t="str">
        <f>"张雪芳"</f>
        <v>张雪芳</v>
      </c>
      <c r="E268" s="10" t="str">
        <f t="shared" si="8"/>
        <v>女</v>
      </c>
      <c r="F268" s="10"/>
    </row>
    <row r="269" spans="1:6" ht="34.5" customHeight="1">
      <c r="A269" s="9">
        <v>267</v>
      </c>
      <c r="B269" s="10" t="str">
        <f>"544920230704232339103408"</f>
        <v>544920230704232339103408</v>
      </c>
      <c r="C269" s="10" t="s">
        <v>7</v>
      </c>
      <c r="D269" s="10" t="str">
        <f>"容鸿珊"</f>
        <v>容鸿珊</v>
      </c>
      <c r="E269" s="10" t="str">
        <f t="shared" si="8"/>
        <v>女</v>
      </c>
      <c r="F269" s="10"/>
    </row>
    <row r="270" spans="1:6" ht="34.5" customHeight="1">
      <c r="A270" s="9">
        <v>268</v>
      </c>
      <c r="B270" s="10" t="str">
        <f>"544920230705004758103525"</f>
        <v>544920230705004758103525</v>
      </c>
      <c r="C270" s="10" t="s">
        <v>7</v>
      </c>
      <c r="D270" s="10" t="str">
        <f>"罗崇靖"</f>
        <v>罗崇靖</v>
      </c>
      <c r="E270" s="10" t="str">
        <f t="shared" si="8"/>
        <v>女</v>
      </c>
      <c r="F270" s="10"/>
    </row>
    <row r="271" spans="1:6" ht="34.5" customHeight="1">
      <c r="A271" s="9">
        <v>269</v>
      </c>
      <c r="B271" s="10" t="str">
        <f>"544920230705065316103588"</f>
        <v>544920230705065316103588</v>
      </c>
      <c r="C271" s="10" t="s">
        <v>7</v>
      </c>
      <c r="D271" s="10" t="str">
        <f>"陈凤"</f>
        <v>陈凤</v>
      </c>
      <c r="E271" s="10" t="str">
        <f t="shared" si="8"/>
        <v>女</v>
      </c>
      <c r="F271" s="10"/>
    </row>
    <row r="272" spans="1:6" ht="34.5" customHeight="1">
      <c r="A272" s="9">
        <v>270</v>
      </c>
      <c r="B272" s="10" t="str">
        <f>"544920230705085637103751"</f>
        <v>544920230705085637103751</v>
      </c>
      <c r="C272" s="10" t="s">
        <v>7</v>
      </c>
      <c r="D272" s="10" t="str">
        <f>"陈积媛"</f>
        <v>陈积媛</v>
      </c>
      <c r="E272" s="10" t="str">
        <f t="shared" si="8"/>
        <v>女</v>
      </c>
      <c r="F272" s="10"/>
    </row>
    <row r="273" spans="1:6" ht="34.5" customHeight="1">
      <c r="A273" s="9">
        <v>271</v>
      </c>
      <c r="B273" s="10" t="str">
        <f>"544920230705090337103770"</f>
        <v>544920230705090337103770</v>
      </c>
      <c r="C273" s="10" t="s">
        <v>7</v>
      </c>
      <c r="D273" s="10" t="str">
        <f>"陈娇凤"</f>
        <v>陈娇凤</v>
      </c>
      <c r="E273" s="10" t="str">
        <f t="shared" si="8"/>
        <v>女</v>
      </c>
      <c r="F273" s="10"/>
    </row>
    <row r="274" spans="1:6" ht="34.5" customHeight="1">
      <c r="A274" s="9">
        <v>272</v>
      </c>
      <c r="B274" s="10" t="str">
        <f>"544920230704101900101054"</f>
        <v>544920230704101900101054</v>
      </c>
      <c r="C274" s="10" t="s">
        <v>7</v>
      </c>
      <c r="D274" s="10" t="str">
        <f>"林玉霞"</f>
        <v>林玉霞</v>
      </c>
      <c r="E274" s="10" t="str">
        <f t="shared" si="8"/>
        <v>女</v>
      </c>
      <c r="F274" s="10"/>
    </row>
    <row r="275" spans="1:6" ht="34.5" customHeight="1">
      <c r="A275" s="9">
        <v>273</v>
      </c>
      <c r="B275" s="10" t="str">
        <f>"544920230705093013103877"</f>
        <v>544920230705093013103877</v>
      </c>
      <c r="C275" s="10" t="s">
        <v>7</v>
      </c>
      <c r="D275" s="10" t="str">
        <f>"刘玉云"</f>
        <v>刘玉云</v>
      </c>
      <c r="E275" s="10" t="str">
        <f t="shared" si="8"/>
        <v>女</v>
      </c>
      <c r="F275" s="10"/>
    </row>
    <row r="276" spans="1:6" ht="34.5" customHeight="1">
      <c r="A276" s="9">
        <v>274</v>
      </c>
      <c r="B276" s="10" t="str">
        <f>"544920230705094229103935"</f>
        <v>544920230705094229103935</v>
      </c>
      <c r="C276" s="10" t="s">
        <v>7</v>
      </c>
      <c r="D276" s="10" t="str">
        <f>"王翎好"</f>
        <v>王翎好</v>
      </c>
      <c r="E276" s="10" t="str">
        <f t="shared" si="8"/>
        <v>女</v>
      </c>
      <c r="F276" s="10"/>
    </row>
    <row r="277" spans="1:6" ht="34.5" customHeight="1">
      <c r="A277" s="9">
        <v>275</v>
      </c>
      <c r="B277" s="10" t="str">
        <f>"544920230704235405103447"</f>
        <v>544920230704235405103447</v>
      </c>
      <c r="C277" s="10" t="s">
        <v>7</v>
      </c>
      <c r="D277" s="10" t="str">
        <f>"苏莹"</f>
        <v>苏莹</v>
      </c>
      <c r="E277" s="10" t="str">
        <f t="shared" si="8"/>
        <v>女</v>
      </c>
      <c r="F277" s="10"/>
    </row>
    <row r="278" spans="1:6" ht="34.5" customHeight="1">
      <c r="A278" s="9">
        <v>276</v>
      </c>
      <c r="B278" s="10" t="str">
        <f>"544920230705095305103978"</f>
        <v>544920230705095305103978</v>
      </c>
      <c r="C278" s="10" t="s">
        <v>7</v>
      </c>
      <c r="D278" s="10" t="str">
        <f>"陈嫔韵"</f>
        <v>陈嫔韵</v>
      </c>
      <c r="E278" s="10" t="str">
        <f t="shared" si="8"/>
        <v>女</v>
      </c>
      <c r="F278" s="10"/>
    </row>
    <row r="279" spans="1:6" ht="34.5" customHeight="1">
      <c r="A279" s="9">
        <v>277</v>
      </c>
      <c r="B279" s="10" t="str">
        <f>"544920230705100255104017"</f>
        <v>544920230705100255104017</v>
      </c>
      <c r="C279" s="10" t="s">
        <v>7</v>
      </c>
      <c r="D279" s="10" t="str">
        <f>"王传为"</f>
        <v>王传为</v>
      </c>
      <c r="E279" s="10" t="str">
        <f t="shared" si="8"/>
        <v>女</v>
      </c>
      <c r="F279" s="10"/>
    </row>
    <row r="280" spans="1:6" ht="34.5" customHeight="1">
      <c r="A280" s="9">
        <v>278</v>
      </c>
      <c r="B280" s="10" t="str">
        <f>"54492023070308462695383"</f>
        <v>54492023070308462695383</v>
      </c>
      <c r="C280" s="10" t="s">
        <v>7</v>
      </c>
      <c r="D280" s="10" t="str">
        <f>"李环"</f>
        <v>李环</v>
      </c>
      <c r="E280" s="10" t="str">
        <f t="shared" si="8"/>
        <v>女</v>
      </c>
      <c r="F280" s="10"/>
    </row>
    <row r="281" spans="1:6" ht="34.5" customHeight="1">
      <c r="A281" s="9">
        <v>279</v>
      </c>
      <c r="B281" s="10" t="str">
        <f>"544920230705095822103998"</f>
        <v>544920230705095822103998</v>
      </c>
      <c r="C281" s="10" t="s">
        <v>7</v>
      </c>
      <c r="D281" s="10" t="str">
        <f>"蔡兰"</f>
        <v>蔡兰</v>
      </c>
      <c r="E281" s="10" t="str">
        <f t="shared" si="8"/>
        <v>女</v>
      </c>
      <c r="F281" s="10"/>
    </row>
    <row r="282" spans="1:6" ht="34.5" customHeight="1">
      <c r="A282" s="9">
        <v>280</v>
      </c>
      <c r="B282" s="10" t="str">
        <f>"544920230705104548104209"</f>
        <v>544920230705104548104209</v>
      </c>
      <c r="C282" s="10" t="s">
        <v>7</v>
      </c>
      <c r="D282" s="10" t="str">
        <f>"吴姗姗"</f>
        <v>吴姗姗</v>
      </c>
      <c r="E282" s="10" t="str">
        <f t="shared" si="8"/>
        <v>女</v>
      </c>
      <c r="F282" s="10"/>
    </row>
    <row r="283" spans="1:6" ht="34.5" customHeight="1">
      <c r="A283" s="9">
        <v>281</v>
      </c>
      <c r="B283" s="10" t="str">
        <f>"544920230705112903104378"</f>
        <v>544920230705112903104378</v>
      </c>
      <c r="C283" s="10" t="s">
        <v>7</v>
      </c>
      <c r="D283" s="10" t="str">
        <f>"李昕"</f>
        <v>李昕</v>
      </c>
      <c r="E283" s="10" t="str">
        <f t="shared" si="8"/>
        <v>女</v>
      </c>
      <c r="F283" s="10"/>
    </row>
    <row r="284" spans="1:6" ht="34.5" customHeight="1">
      <c r="A284" s="9">
        <v>282</v>
      </c>
      <c r="B284" s="10" t="str">
        <f>"54492023070317214298640"</f>
        <v>54492023070317214298640</v>
      </c>
      <c r="C284" s="10" t="s">
        <v>7</v>
      </c>
      <c r="D284" s="10" t="str">
        <f>"陈嘉诺"</f>
        <v>陈嘉诺</v>
      </c>
      <c r="E284" s="10" t="str">
        <f t="shared" si="8"/>
        <v>女</v>
      </c>
      <c r="F284" s="10"/>
    </row>
    <row r="285" spans="1:6" ht="34.5" customHeight="1">
      <c r="A285" s="9">
        <v>283</v>
      </c>
      <c r="B285" s="10" t="str">
        <f>"544920230705115156104445"</f>
        <v>544920230705115156104445</v>
      </c>
      <c r="C285" s="10" t="s">
        <v>7</v>
      </c>
      <c r="D285" s="10" t="str">
        <f>"符舒华"</f>
        <v>符舒华</v>
      </c>
      <c r="E285" s="10" t="str">
        <f t="shared" si="8"/>
        <v>女</v>
      </c>
      <c r="F285" s="10"/>
    </row>
    <row r="286" spans="1:6" ht="34.5" customHeight="1">
      <c r="A286" s="9">
        <v>284</v>
      </c>
      <c r="B286" s="10" t="str">
        <f>"544920230705121716104496"</f>
        <v>544920230705121716104496</v>
      </c>
      <c r="C286" s="10" t="s">
        <v>7</v>
      </c>
      <c r="D286" s="10" t="str">
        <f>"吴思颖"</f>
        <v>吴思颖</v>
      </c>
      <c r="E286" s="10" t="str">
        <f t="shared" si="8"/>
        <v>女</v>
      </c>
      <c r="F286" s="10"/>
    </row>
    <row r="287" spans="1:6" ht="34.5" customHeight="1">
      <c r="A287" s="9">
        <v>285</v>
      </c>
      <c r="B287" s="10" t="str">
        <f>"544920230705122559104519"</f>
        <v>544920230705122559104519</v>
      </c>
      <c r="C287" s="10" t="s">
        <v>7</v>
      </c>
      <c r="D287" s="10" t="str">
        <f>"盛亚强"</f>
        <v>盛亚强</v>
      </c>
      <c r="E287" s="10" t="str">
        <f t="shared" si="8"/>
        <v>女</v>
      </c>
      <c r="F287" s="10"/>
    </row>
    <row r="288" spans="1:6" ht="34.5" customHeight="1">
      <c r="A288" s="9">
        <v>286</v>
      </c>
      <c r="B288" s="10" t="str">
        <f>"544920230705124137104563"</f>
        <v>544920230705124137104563</v>
      </c>
      <c r="C288" s="10" t="s">
        <v>7</v>
      </c>
      <c r="D288" s="10" t="str">
        <f>"李喜姣"</f>
        <v>李喜姣</v>
      </c>
      <c r="E288" s="10" t="str">
        <f t="shared" si="8"/>
        <v>女</v>
      </c>
      <c r="F288" s="10"/>
    </row>
    <row r="289" spans="1:6" ht="34.5" customHeight="1">
      <c r="A289" s="9">
        <v>287</v>
      </c>
      <c r="B289" s="10" t="str">
        <f>"544920230705124504104568"</f>
        <v>544920230705124504104568</v>
      </c>
      <c r="C289" s="10" t="s">
        <v>7</v>
      </c>
      <c r="D289" s="10" t="str">
        <f>"陈静娴"</f>
        <v>陈静娴</v>
      </c>
      <c r="E289" s="10" t="str">
        <f t="shared" si="8"/>
        <v>女</v>
      </c>
      <c r="F289" s="10"/>
    </row>
    <row r="290" spans="1:6" ht="34.5" customHeight="1">
      <c r="A290" s="9">
        <v>288</v>
      </c>
      <c r="B290" s="10" t="str">
        <f>"544920230705125706104598"</f>
        <v>544920230705125706104598</v>
      </c>
      <c r="C290" s="10" t="s">
        <v>7</v>
      </c>
      <c r="D290" s="10" t="str">
        <f>"黄如露"</f>
        <v>黄如露</v>
      </c>
      <c r="E290" s="10" t="str">
        <f t="shared" si="8"/>
        <v>女</v>
      </c>
      <c r="F290" s="10"/>
    </row>
    <row r="291" spans="1:6" ht="34.5" customHeight="1">
      <c r="A291" s="9">
        <v>289</v>
      </c>
      <c r="B291" s="10" t="str">
        <f>"544920230705131918104640"</f>
        <v>544920230705131918104640</v>
      </c>
      <c r="C291" s="10" t="s">
        <v>7</v>
      </c>
      <c r="D291" s="10" t="str">
        <f>"夏红怡"</f>
        <v>夏红怡</v>
      </c>
      <c r="E291" s="10" t="str">
        <f t="shared" si="8"/>
        <v>女</v>
      </c>
      <c r="F291" s="10"/>
    </row>
    <row r="292" spans="1:6" ht="34.5" customHeight="1">
      <c r="A292" s="9">
        <v>290</v>
      </c>
      <c r="B292" s="10" t="str">
        <f>"544920230705131925104641"</f>
        <v>544920230705131925104641</v>
      </c>
      <c r="C292" s="10" t="s">
        <v>7</v>
      </c>
      <c r="D292" s="10" t="str">
        <f>"林琪琪"</f>
        <v>林琪琪</v>
      </c>
      <c r="E292" s="10" t="str">
        <f t="shared" si="8"/>
        <v>女</v>
      </c>
      <c r="F292" s="10"/>
    </row>
    <row r="293" spans="1:6" ht="34.5" customHeight="1">
      <c r="A293" s="9">
        <v>291</v>
      </c>
      <c r="B293" s="10" t="str">
        <f>"544920230705143105104773"</f>
        <v>544920230705143105104773</v>
      </c>
      <c r="C293" s="10" t="s">
        <v>7</v>
      </c>
      <c r="D293" s="10" t="str">
        <f>"范媛媛"</f>
        <v>范媛媛</v>
      </c>
      <c r="E293" s="10" t="str">
        <f t="shared" si="8"/>
        <v>女</v>
      </c>
      <c r="F293" s="10"/>
    </row>
    <row r="294" spans="1:6" ht="34.5" customHeight="1">
      <c r="A294" s="9">
        <v>292</v>
      </c>
      <c r="B294" s="10" t="str">
        <f>"544920230705144800104820"</f>
        <v>544920230705144800104820</v>
      </c>
      <c r="C294" s="10" t="s">
        <v>7</v>
      </c>
      <c r="D294" s="10" t="str">
        <f>"伍淑妍"</f>
        <v>伍淑妍</v>
      </c>
      <c r="E294" s="10" t="str">
        <f t="shared" si="8"/>
        <v>女</v>
      </c>
      <c r="F294" s="10"/>
    </row>
    <row r="295" spans="1:6" ht="34.5" customHeight="1">
      <c r="A295" s="9">
        <v>293</v>
      </c>
      <c r="B295" s="10" t="str">
        <f>"544920230705151539104914"</f>
        <v>544920230705151539104914</v>
      </c>
      <c r="C295" s="10" t="s">
        <v>7</v>
      </c>
      <c r="D295" s="10" t="str">
        <f>"林女娟"</f>
        <v>林女娟</v>
      </c>
      <c r="E295" s="10" t="str">
        <f t="shared" si="8"/>
        <v>女</v>
      </c>
      <c r="F295" s="10"/>
    </row>
    <row r="296" spans="1:6" ht="34.5" customHeight="1">
      <c r="A296" s="9">
        <v>294</v>
      </c>
      <c r="B296" s="10" t="str">
        <f>"54492023070212450493533"</f>
        <v>54492023070212450493533</v>
      </c>
      <c r="C296" s="10" t="s">
        <v>7</v>
      </c>
      <c r="D296" s="10" t="str">
        <f>"莫菲"</f>
        <v>莫菲</v>
      </c>
      <c r="E296" s="10" t="str">
        <f t="shared" si="8"/>
        <v>女</v>
      </c>
      <c r="F296" s="10"/>
    </row>
    <row r="297" spans="1:6" ht="34.5" customHeight="1">
      <c r="A297" s="9">
        <v>295</v>
      </c>
      <c r="B297" s="10" t="str">
        <f>"544920230705153253104973"</f>
        <v>544920230705153253104973</v>
      </c>
      <c r="C297" s="10" t="s">
        <v>7</v>
      </c>
      <c r="D297" s="10" t="str">
        <f>"胡贤珠"</f>
        <v>胡贤珠</v>
      </c>
      <c r="E297" s="10" t="str">
        <f t="shared" si="8"/>
        <v>女</v>
      </c>
      <c r="F297" s="10"/>
    </row>
    <row r="298" spans="1:6" ht="34.5" customHeight="1">
      <c r="A298" s="9">
        <v>296</v>
      </c>
      <c r="B298" s="10" t="str">
        <f>"544920230705153425104977"</f>
        <v>544920230705153425104977</v>
      </c>
      <c r="C298" s="10" t="s">
        <v>7</v>
      </c>
      <c r="D298" s="10" t="str">
        <f>"黄楚茵"</f>
        <v>黄楚茵</v>
      </c>
      <c r="E298" s="10" t="str">
        <f t="shared" si="8"/>
        <v>女</v>
      </c>
      <c r="F298" s="10"/>
    </row>
    <row r="299" spans="1:6" ht="34.5" customHeight="1">
      <c r="A299" s="9">
        <v>297</v>
      </c>
      <c r="B299" s="10" t="str">
        <f>"544920230705152346104938"</f>
        <v>544920230705152346104938</v>
      </c>
      <c r="C299" s="10" t="s">
        <v>7</v>
      </c>
      <c r="D299" s="10" t="str">
        <f>"符秀姑"</f>
        <v>符秀姑</v>
      </c>
      <c r="E299" s="10" t="str">
        <f t="shared" si="8"/>
        <v>女</v>
      </c>
      <c r="F299" s="10"/>
    </row>
    <row r="300" spans="1:6" ht="34.5" customHeight="1">
      <c r="A300" s="9">
        <v>298</v>
      </c>
      <c r="B300" s="10" t="str">
        <f>"544920230705165202105193"</f>
        <v>544920230705165202105193</v>
      </c>
      <c r="C300" s="10" t="s">
        <v>7</v>
      </c>
      <c r="D300" s="10" t="str">
        <f>"王惠"</f>
        <v>王惠</v>
      </c>
      <c r="E300" s="10" t="str">
        <f t="shared" si="8"/>
        <v>女</v>
      </c>
      <c r="F300" s="10" t="str">
        <f>"身份证后四位为0027"</f>
        <v>身份证后四位为0027</v>
      </c>
    </row>
    <row r="301" spans="1:6" ht="34.5" customHeight="1">
      <c r="A301" s="9">
        <v>299</v>
      </c>
      <c r="B301" s="10" t="str">
        <f>"544920230704083231100594"</f>
        <v>544920230704083231100594</v>
      </c>
      <c r="C301" s="10" t="s">
        <v>7</v>
      </c>
      <c r="D301" s="10" t="str">
        <f>"吴艳"</f>
        <v>吴艳</v>
      </c>
      <c r="E301" s="10" t="str">
        <f t="shared" si="8"/>
        <v>女</v>
      </c>
      <c r="F301" s="10"/>
    </row>
    <row r="302" spans="1:6" ht="34.5" customHeight="1">
      <c r="A302" s="9">
        <v>300</v>
      </c>
      <c r="B302" s="10" t="str">
        <f>"544920230705172945105266"</f>
        <v>544920230705172945105266</v>
      </c>
      <c r="C302" s="10" t="s">
        <v>7</v>
      </c>
      <c r="D302" s="10" t="str">
        <f>"洪恩娟"</f>
        <v>洪恩娟</v>
      </c>
      <c r="E302" s="10" t="str">
        <f t="shared" si="8"/>
        <v>女</v>
      </c>
      <c r="F302" s="10"/>
    </row>
    <row r="303" spans="1:6" ht="34.5" customHeight="1">
      <c r="A303" s="9">
        <v>301</v>
      </c>
      <c r="B303" s="10" t="str">
        <f>"544920230705172232105255"</f>
        <v>544920230705172232105255</v>
      </c>
      <c r="C303" s="10" t="s">
        <v>7</v>
      </c>
      <c r="D303" s="10" t="str">
        <f>"黄秀芳"</f>
        <v>黄秀芳</v>
      </c>
      <c r="E303" s="10" t="str">
        <f t="shared" si="8"/>
        <v>女</v>
      </c>
      <c r="F303" s="10"/>
    </row>
    <row r="304" spans="1:6" ht="34.5" customHeight="1">
      <c r="A304" s="9">
        <v>302</v>
      </c>
      <c r="B304" s="10" t="str">
        <f>"544920230705170328105218"</f>
        <v>544920230705170328105218</v>
      </c>
      <c r="C304" s="10" t="s">
        <v>7</v>
      </c>
      <c r="D304" s="10" t="str">
        <f>"薛乾桃"</f>
        <v>薛乾桃</v>
      </c>
      <c r="E304" s="10" t="str">
        <f t="shared" si="8"/>
        <v>女</v>
      </c>
      <c r="F304" s="10"/>
    </row>
    <row r="305" spans="1:6" ht="34.5" customHeight="1">
      <c r="A305" s="9">
        <v>303</v>
      </c>
      <c r="B305" s="10" t="str">
        <f>"544920230705173527105275"</f>
        <v>544920230705173527105275</v>
      </c>
      <c r="C305" s="10" t="s">
        <v>7</v>
      </c>
      <c r="D305" s="10" t="str">
        <f>"朱玉萍"</f>
        <v>朱玉萍</v>
      </c>
      <c r="E305" s="10" t="str">
        <f t="shared" si="8"/>
        <v>女</v>
      </c>
      <c r="F305" s="10"/>
    </row>
    <row r="306" spans="1:6" ht="34.5" customHeight="1">
      <c r="A306" s="9">
        <v>304</v>
      </c>
      <c r="B306" s="10" t="str">
        <f>"544920230705134045104683"</f>
        <v>544920230705134045104683</v>
      </c>
      <c r="C306" s="10" t="s">
        <v>7</v>
      </c>
      <c r="D306" s="10" t="str">
        <f>"周静"</f>
        <v>周静</v>
      </c>
      <c r="E306" s="10" t="str">
        <f t="shared" si="8"/>
        <v>女</v>
      </c>
      <c r="F306" s="10" t="str">
        <f>"身份证后四位为7262"</f>
        <v>身份证后四位为7262</v>
      </c>
    </row>
    <row r="307" spans="1:6" ht="34.5" customHeight="1">
      <c r="A307" s="9">
        <v>305</v>
      </c>
      <c r="B307" s="10" t="str">
        <f>"544920230705135207104703"</f>
        <v>544920230705135207104703</v>
      </c>
      <c r="C307" s="10" t="s">
        <v>7</v>
      </c>
      <c r="D307" s="10" t="str">
        <f>"何影"</f>
        <v>何影</v>
      </c>
      <c r="E307" s="10" t="str">
        <f t="shared" si="8"/>
        <v>女</v>
      </c>
      <c r="F307" s="10"/>
    </row>
    <row r="308" spans="1:6" ht="34.5" customHeight="1">
      <c r="A308" s="9">
        <v>306</v>
      </c>
      <c r="B308" s="10" t="str">
        <f>"544920230705192452105409"</f>
        <v>544920230705192452105409</v>
      </c>
      <c r="C308" s="10" t="s">
        <v>7</v>
      </c>
      <c r="D308" s="10" t="str">
        <f>"吴雪梅"</f>
        <v>吴雪梅</v>
      </c>
      <c r="E308" s="10" t="str">
        <f t="shared" si="8"/>
        <v>女</v>
      </c>
      <c r="F308" s="10"/>
    </row>
    <row r="309" spans="1:6" ht="34.5" customHeight="1">
      <c r="A309" s="9">
        <v>307</v>
      </c>
      <c r="B309" s="10" t="str">
        <f>"544920230705195159105437"</f>
        <v>544920230705195159105437</v>
      </c>
      <c r="C309" s="10" t="s">
        <v>7</v>
      </c>
      <c r="D309" s="10" t="str">
        <f>"王玉仙"</f>
        <v>王玉仙</v>
      </c>
      <c r="E309" s="10" t="str">
        <f t="shared" si="8"/>
        <v>女</v>
      </c>
      <c r="F309" s="10"/>
    </row>
    <row r="310" spans="1:6" ht="34.5" customHeight="1">
      <c r="A310" s="9">
        <v>308</v>
      </c>
      <c r="B310" s="10" t="str">
        <f>"544920230704162551102333"</f>
        <v>544920230704162551102333</v>
      </c>
      <c r="C310" s="10" t="s">
        <v>7</v>
      </c>
      <c r="D310" s="10" t="str">
        <f>"郭飞怡"</f>
        <v>郭飞怡</v>
      </c>
      <c r="E310" s="10" t="str">
        <f aca="true" t="shared" si="9" ref="E310:E336">"女"</f>
        <v>女</v>
      </c>
      <c r="F310" s="10"/>
    </row>
    <row r="311" spans="1:6" ht="34.5" customHeight="1">
      <c r="A311" s="9">
        <v>309</v>
      </c>
      <c r="B311" s="10" t="str">
        <f>"544920230705201344105477"</f>
        <v>544920230705201344105477</v>
      </c>
      <c r="C311" s="10" t="s">
        <v>7</v>
      </c>
      <c r="D311" s="10" t="str">
        <f>"李小菲"</f>
        <v>李小菲</v>
      </c>
      <c r="E311" s="10" t="str">
        <f t="shared" si="9"/>
        <v>女</v>
      </c>
      <c r="F311" s="10"/>
    </row>
    <row r="312" spans="1:6" ht="34.5" customHeight="1">
      <c r="A312" s="9">
        <v>310</v>
      </c>
      <c r="B312" s="10" t="str">
        <f>"544920230705120858104480"</f>
        <v>544920230705120858104480</v>
      </c>
      <c r="C312" s="10" t="s">
        <v>7</v>
      </c>
      <c r="D312" s="10" t="str">
        <f>"余新娟"</f>
        <v>余新娟</v>
      </c>
      <c r="E312" s="10" t="str">
        <f t="shared" si="9"/>
        <v>女</v>
      </c>
      <c r="F312" s="10"/>
    </row>
    <row r="313" spans="1:6" ht="34.5" customHeight="1">
      <c r="A313" s="9">
        <v>311</v>
      </c>
      <c r="B313" s="10" t="str">
        <f>"544920230705202639105498"</f>
        <v>544920230705202639105498</v>
      </c>
      <c r="C313" s="10" t="s">
        <v>7</v>
      </c>
      <c r="D313" s="10" t="str">
        <f>"吴清芳"</f>
        <v>吴清芳</v>
      </c>
      <c r="E313" s="10" t="str">
        <f t="shared" si="9"/>
        <v>女</v>
      </c>
      <c r="F313" s="10"/>
    </row>
    <row r="314" spans="1:6" ht="34.5" customHeight="1">
      <c r="A314" s="9">
        <v>312</v>
      </c>
      <c r="B314" s="10" t="str">
        <f>"544920230705204354105541"</f>
        <v>544920230705204354105541</v>
      </c>
      <c r="C314" s="10" t="s">
        <v>7</v>
      </c>
      <c r="D314" s="10" t="str">
        <f>"韩丹"</f>
        <v>韩丹</v>
      </c>
      <c r="E314" s="10" t="str">
        <f t="shared" si="9"/>
        <v>女</v>
      </c>
      <c r="F314" s="10"/>
    </row>
    <row r="315" spans="1:6" ht="34.5" customHeight="1">
      <c r="A315" s="9">
        <v>313</v>
      </c>
      <c r="B315" s="10" t="str">
        <f>"544920230705203045105508"</f>
        <v>544920230705203045105508</v>
      </c>
      <c r="C315" s="10" t="s">
        <v>7</v>
      </c>
      <c r="D315" s="10" t="str">
        <f>"王鑫"</f>
        <v>王鑫</v>
      </c>
      <c r="E315" s="10" t="str">
        <f t="shared" si="9"/>
        <v>女</v>
      </c>
      <c r="F315" s="10"/>
    </row>
    <row r="316" spans="1:6" ht="34.5" customHeight="1">
      <c r="A316" s="9">
        <v>314</v>
      </c>
      <c r="B316" s="10" t="str">
        <f>"544920230705213347105621"</f>
        <v>544920230705213347105621</v>
      </c>
      <c r="C316" s="10" t="s">
        <v>7</v>
      </c>
      <c r="D316" s="10" t="str">
        <f>"王秀雯"</f>
        <v>王秀雯</v>
      </c>
      <c r="E316" s="10" t="str">
        <f t="shared" si="9"/>
        <v>女</v>
      </c>
      <c r="F316" s="10"/>
    </row>
    <row r="317" spans="1:6" ht="34.5" customHeight="1">
      <c r="A317" s="9">
        <v>315</v>
      </c>
      <c r="B317" s="10" t="str">
        <f>"54492023070322100899892"</f>
        <v>54492023070322100899892</v>
      </c>
      <c r="C317" s="10" t="s">
        <v>7</v>
      </c>
      <c r="D317" s="10" t="str">
        <f>"李官杏"</f>
        <v>李官杏</v>
      </c>
      <c r="E317" s="10" t="str">
        <f t="shared" si="9"/>
        <v>女</v>
      </c>
      <c r="F317" s="10"/>
    </row>
    <row r="318" spans="1:6" ht="34.5" customHeight="1">
      <c r="A318" s="9">
        <v>316</v>
      </c>
      <c r="B318" s="10" t="str">
        <f>"544920230705215019105647"</f>
        <v>544920230705215019105647</v>
      </c>
      <c r="C318" s="10" t="s">
        <v>7</v>
      </c>
      <c r="D318" s="10" t="str">
        <f>"吴剑花"</f>
        <v>吴剑花</v>
      </c>
      <c r="E318" s="10" t="str">
        <f t="shared" si="9"/>
        <v>女</v>
      </c>
      <c r="F318" s="10"/>
    </row>
    <row r="319" spans="1:6" ht="34.5" customHeight="1">
      <c r="A319" s="9">
        <v>317</v>
      </c>
      <c r="B319" s="10" t="str">
        <f>"54492023070212572593571"</f>
        <v>54492023070212572593571</v>
      </c>
      <c r="C319" s="10" t="s">
        <v>7</v>
      </c>
      <c r="D319" s="10" t="str">
        <f>"陈庆莹"</f>
        <v>陈庆莹</v>
      </c>
      <c r="E319" s="10" t="str">
        <f t="shared" si="9"/>
        <v>女</v>
      </c>
      <c r="F319" s="10"/>
    </row>
    <row r="320" spans="1:6" ht="34.5" customHeight="1">
      <c r="A320" s="9">
        <v>318</v>
      </c>
      <c r="B320" s="10" t="str">
        <f>"544920230705214937105644"</f>
        <v>544920230705214937105644</v>
      </c>
      <c r="C320" s="10" t="s">
        <v>7</v>
      </c>
      <c r="D320" s="10" t="str">
        <f>"林紫丹"</f>
        <v>林紫丹</v>
      </c>
      <c r="E320" s="10" t="str">
        <f t="shared" si="9"/>
        <v>女</v>
      </c>
      <c r="F320" s="10"/>
    </row>
    <row r="321" spans="1:6" ht="34.5" customHeight="1">
      <c r="A321" s="9">
        <v>319</v>
      </c>
      <c r="B321" s="10" t="str">
        <f>"544920230705220644105682"</f>
        <v>544920230705220644105682</v>
      </c>
      <c r="C321" s="10" t="s">
        <v>7</v>
      </c>
      <c r="D321" s="10" t="str">
        <f>"林巧添"</f>
        <v>林巧添</v>
      </c>
      <c r="E321" s="10" t="str">
        <f t="shared" si="9"/>
        <v>女</v>
      </c>
      <c r="F321" s="10"/>
    </row>
    <row r="322" spans="1:6" ht="34.5" customHeight="1">
      <c r="A322" s="9">
        <v>320</v>
      </c>
      <c r="B322" s="10" t="str">
        <f>"544920230705221441105700"</f>
        <v>544920230705221441105700</v>
      </c>
      <c r="C322" s="10" t="s">
        <v>7</v>
      </c>
      <c r="D322" s="10" t="str">
        <f>"孔香艳"</f>
        <v>孔香艳</v>
      </c>
      <c r="E322" s="10" t="str">
        <f t="shared" si="9"/>
        <v>女</v>
      </c>
      <c r="F322" s="10"/>
    </row>
    <row r="323" spans="1:6" ht="34.5" customHeight="1">
      <c r="A323" s="9">
        <v>321</v>
      </c>
      <c r="B323" s="10" t="str">
        <f>"544920230705215938105669"</f>
        <v>544920230705215938105669</v>
      </c>
      <c r="C323" s="10" t="s">
        <v>7</v>
      </c>
      <c r="D323" s="10" t="str">
        <f>"余珍娟"</f>
        <v>余珍娟</v>
      </c>
      <c r="E323" s="10" t="str">
        <f t="shared" si="9"/>
        <v>女</v>
      </c>
      <c r="F323" s="10"/>
    </row>
    <row r="324" spans="1:6" ht="34.5" customHeight="1">
      <c r="A324" s="9">
        <v>322</v>
      </c>
      <c r="B324" s="10" t="str">
        <f>"544920230705221208105692"</f>
        <v>544920230705221208105692</v>
      </c>
      <c r="C324" s="10" t="s">
        <v>7</v>
      </c>
      <c r="D324" s="10" t="str">
        <f>"冯丽芳"</f>
        <v>冯丽芳</v>
      </c>
      <c r="E324" s="10" t="str">
        <f t="shared" si="9"/>
        <v>女</v>
      </c>
      <c r="F324" s="10"/>
    </row>
    <row r="325" spans="1:6" ht="34.5" customHeight="1">
      <c r="A325" s="9">
        <v>323</v>
      </c>
      <c r="B325" s="10" t="str">
        <f>"544920230705224011105744"</f>
        <v>544920230705224011105744</v>
      </c>
      <c r="C325" s="10" t="s">
        <v>7</v>
      </c>
      <c r="D325" s="10" t="str">
        <f>"黄晓莹"</f>
        <v>黄晓莹</v>
      </c>
      <c r="E325" s="10" t="str">
        <f t="shared" si="9"/>
        <v>女</v>
      </c>
      <c r="F325" s="10"/>
    </row>
    <row r="326" spans="1:6" ht="34.5" customHeight="1">
      <c r="A326" s="9">
        <v>324</v>
      </c>
      <c r="B326" s="10" t="str">
        <f>"544920230704214343103170"</f>
        <v>544920230704214343103170</v>
      </c>
      <c r="C326" s="10" t="s">
        <v>7</v>
      </c>
      <c r="D326" s="10" t="str">
        <f>"单超"</f>
        <v>单超</v>
      </c>
      <c r="E326" s="10" t="str">
        <f t="shared" si="9"/>
        <v>女</v>
      </c>
      <c r="F326" s="10"/>
    </row>
    <row r="327" spans="1:6" ht="34.5" customHeight="1">
      <c r="A327" s="9">
        <v>325</v>
      </c>
      <c r="B327" s="10" t="str">
        <f>"544920230705232102105801"</f>
        <v>544920230705232102105801</v>
      </c>
      <c r="C327" s="10" t="s">
        <v>7</v>
      </c>
      <c r="D327" s="10" t="str">
        <f>"何一秋"</f>
        <v>何一秋</v>
      </c>
      <c r="E327" s="10" t="str">
        <f t="shared" si="9"/>
        <v>女</v>
      </c>
      <c r="F327" s="10"/>
    </row>
    <row r="328" spans="1:6" ht="34.5" customHeight="1">
      <c r="A328" s="9">
        <v>326</v>
      </c>
      <c r="B328" s="10" t="str">
        <f>"544920230705231512105794"</f>
        <v>544920230705231512105794</v>
      </c>
      <c r="C328" s="10" t="s">
        <v>7</v>
      </c>
      <c r="D328" s="10" t="str">
        <f>"欧紫欣"</f>
        <v>欧紫欣</v>
      </c>
      <c r="E328" s="10" t="str">
        <f t="shared" si="9"/>
        <v>女</v>
      </c>
      <c r="F328" s="10"/>
    </row>
    <row r="329" spans="1:6" ht="34.5" customHeight="1">
      <c r="A329" s="9">
        <v>327</v>
      </c>
      <c r="B329" s="10" t="str">
        <f>"544920230706000538105835"</f>
        <v>544920230706000538105835</v>
      </c>
      <c r="C329" s="10" t="s">
        <v>7</v>
      </c>
      <c r="D329" s="10" t="str">
        <f>"伍云杉"</f>
        <v>伍云杉</v>
      </c>
      <c r="E329" s="10" t="str">
        <f t="shared" si="9"/>
        <v>女</v>
      </c>
      <c r="F329" s="10"/>
    </row>
    <row r="330" spans="1:6" ht="34.5" customHeight="1">
      <c r="A330" s="9">
        <v>328</v>
      </c>
      <c r="B330" s="10" t="str">
        <f>"544920230706000427105833"</f>
        <v>544920230706000427105833</v>
      </c>
      <c r="C330" s="10" t="s">
        <v>7</v>
      </c>
      <c r="D330" s="10" t="str">
        <f>"文婷"</f>
        <v>文婷</v>
      </c>
      <c r="E330" s="10" t="str">
        <f t="shared" si="9"/>
        <v>女</v>
      </c>
      <c r="F330" s="10"/>
    </row>
    <row r="331" spans="1:6" ht="34.5" customHeight="1">
      <c r="A331" s="9">
        <v>329</v>
      </c>
      <c r="B331" s="10" t="str">
        <f>"544920230705232841105810"</f>
        <v>544920230705232841105810</v>
      </c>
      <c r="C331" s="10" t="s">
        <v>7</v>
      </c>
      <c r="D331" s="10" t="str">
        <f>"路盼"</f>
        <v>路盼</v>
      </c>
      <c r="E331" s="10" t="str">
        <f t="shared" si="9"/>
        <v>女</v>
      </c>
      <c r="F331" s="10"/>
    </row>
    <row r="332" spans="1:6" ht="34.5" customHeight="1">
      <c r="A332" s="9">
        <v>330</v>
      </c>
      <c r="B332" s="10" t="str">
        <f>"544920230706001737105847"</f>
        <v>544920230706001737105847</v>
      </c>
      <c r="C332" s="10" t="s">
        <v>7</v>
      </c>
      <c r="D332" s="10" t="str">
        <f>"钟敏妮"</f>
        <v>钟敏妮</v>
      </c>
      <c r="E332" s="10" t="str">
        <f t="shared" si="9"/>
        <v>女</v>
      </c>
      <c r="F332" s="10"/>
    </row>
    <row r="333" spans="1:6" ht="34.5" customHeight="1">
      <c r="A333" s="9">
        <v>331</v>
      </c>
      <c r="B333" s="10" t="str">
        <f>"54492023070223393595095"</f>
        <v>54492023070223393595095</v>
      </c>
      <c r="C333" s="10" t="s">
        <v>7</v>
      </c>
      <c r="D333" s="10" t="str">
        <f>"房学舒"</f>
        <v>房学舒</v>
      </c>
      <c r="E333" s="10" t="str">
        <f t="shared" si="9"/>
        <v>女</v>
      </c>
      <c r="F333" s="10"/>
    </row>
    <row r="334" spans="1:6" ht="34.5" customHeight="1">
      <c r="A334" s="9">
        <v>332</v>
      </c>
      <c r="B334" s="10" t="str">
        <f>"54492023070309404495878"</f>
        <v>54492023070309404495878</v>
      </c>
      <c r="C334" s="10" t="s">
        <v>7</v>
      </c>
      <c r="D334" s="10" t="str">
        <f>"郭腾"</f>
        <v>郭腾</v>
      </c>
      <c r="E334" s="10" t="str">
        <f t="shared" si="9"/>
        <v>女</v>
      </c>
      <c r="F334" s="10"/>
    </row>
    <row r="335" spans="1:6" ht="34.5" customHeight="1">
      <c r="A335" s="9">
        <v>333</v>
      </c>
      <c r="B335" s="10" t="str">
        <f>"544920230706092841106576"</f>
        <v>544920230706092841106576</v>
      </c>
      <c r="C335" s="10" t="s">
        <v>7</v>
      </c>
      <c r="D335" s="10" t="str">
        <f>"郑霞"</f>
        <v>郑霞</v>
      </c>
      <c r="E335" s="10" t="str">
        <f t="shared" si="9"/>
        <v>女</v>
      </c>
      <c r="F335" s="10"/>
    </row>
    <row r="336" spans="1:6" ht="34.5" customHeight="1">
      <c r="A336" s="9">
        <v>334</v>
      </c>
      <c r="B336" s="10" t="str">
        <f>"544920230705100429104025"</f>
        <v>544920230705100429104025</v>
      </c>
      <c r="C336" s="10" t="s">
        <v>7</v>
      </c>
      <c r="D336" s="10" t="str">
        <f>"黄芬芬"</f>
        <v>黄芬芬</v>
      </c>
      <c r="E336" s="10" t="str">
        <f t="shared" si="9"/>
        <v>女</v>
      </c>
      <c r="F336" s="10"/>
    </row>
    <row r="337" spans="1:6" ht="34.5" customHeight="1">
      <c r="A337" s="9">
        <v>335</v>
      </c>
      <c r="B337" s="10" t="str">
        <f>"54492023070316105098228"</f>
        <v>54492023070316105098228</v>
      </c>
      <c r="C337" s="10" t="s">
        <v>7</v>
      </c>
      <c r="D337" s="10" t="str">
        <f>"刘禹"</f>
        <v>刘禹</v>
      </c>
      <c r="E337" s="10" t="str">
        <f>"男"</f>
        <v>男</v>
      </c>
      <c r="F337" s="10"/>
    </row>
    <row r="338" spans="1:6" ht="34.5" customHeight="1">
      <c r="A338" s="9">
        <v>336</v>
      </c>
      <c r="B338" s="10" t="str">
        <f>"544920230706092302106521"</f>
        <v>544920230706092302106521</v>
      </c>
      <c r="C338" s="10" t="s">
        <v>7</v>
      </c>
      <c r="D338" s="10" t="str">
        <f>"张禾"</f>
        <v>张禾</v>
      </c>
      <c r="E338" s="10" t="str">
        <f aca="true" t="shared" si="10" ref="E338:E346">"女"</f>
        <v>女</v>
      </c>
      <c r="F338" s="10"/>
    </row>
    <row r="339" spans="1:6" ht="34.5" customHeight="1">
      <c r="A339" s="9">
        <v>337</v>
      </c>
      <c r="B339" s="10" t="str">
        <f>"544920230706092841106577"</f>
        <v>544920230706092841106577</v>
      </c>
      <c r="C339" s="10" t="s">
        <v>7</v>
      </c>
      <c r="D339" s="10" t="str">
        <f>"王小莉"</f>
        <v>王小莉</v>
      </c>
      <c r="E339" s="10" t="str">
        <f t="shared" si="10"/>
        <v>女</v>
      </c>
      <c r="F339" s="10"/>
    </row>
    <row r="340" spans="1:6" ht="34.5" customHeight="1">
      <c r="A340" s="9">
        <v>338</v>
      </c>
      <c r="B340" s="10" t="str">
        <f>"544920230706094042106709"</f>
        <v>544920230706094042106709</v>
      </c>
      <c r="C340" s="10" t="s">
        <v>7</v>
      </c>
      <c r="D340" s="10" t="str">
        <f>"符赵霞"</f>
        <v>符赵霞</v>
      </c>
      <c r="E340" s="10" t="str">
        <f t="shared" si="10"/>
        <v>女</v>
      </c>
      <c r="F340" s="10"/>
    </row>
    <row r="341" spans="1:6" ht="34.5" customHeight="1">
      <c r="A341" s="9">
        <v>339</v>
      </c>
      <c r="B341" s="10" t="str">
        <f>"544920230706100423107010"</f>
        <v>544920230706100423107010</v>
      </c>
      <c r="C341" s="10" t="s">
        <v>7</v>
      </c>
      <c r="D341" s="10" t="str">
        <f>"杜尧玲"</f>
        <v>杜尧玲</v>
      </c>
      <c r="E341" s="10" t="str">
        <f t="shared" si="10"/>
        <v>女</v>
      </c>
      <c r="F341" s="10"/>
    </row>
    <row r="342" spans="1:6" ht="34.5" customHeight="1">
      <c r="A342" s="9">
        <v>340</v>
      </c>
      <c r="B342" s="10" t="str">
        <f>"544920230704102815101138"</f>
        <v>544920230704102815101138</v>
      </c>
      <c r="C342" s="10" t="s">
        <v>7</v>
      </c>
      <c r="D342" s="10" t="str">
        <f>"陈洁婷"</f>
        <v>陈洁婷</v>
      </c>
      <c r="E342" s="10" t="str">
        <f t="shared" si="10"/>
        <v>女</v>
      </c>
      <c r="F342" s="10"/>
    </row>
    <row r="343" spans="1:6" ht="34.5" customHeight="1">
      <c r="A343" s="9">
        <v>341</v>
      </c>
      <c r="B343" s="10" t="str">
        <f>"544920230706104726107425"</f>
        <v>544920230706104726107425</v>
      </c>
      <c r="C343" s="10" t="s">
        <v>7</v>
      </c>
      <c r="D343" s="10" t="str">
        <f>"邓雪桃"</f>
        <v>邓雪桃</v>
      </c>
      <c r="E343" s="10" t="str">
        <f t="shared" si="10"/>
        <v>女</v>
      </c>
      <c r="F343" s="10"/>
    </row>
    <row r="344" spans="1:6" ht="34.5" customHeight="1">
      <c r="A344" s="9">
        <v>342</v>
      </c>
      <c r="B344" s="10" t="str">
        <f>"54492023070316371098387"</f>
        <v>54492023070316371098387</v>
      </c>
      <c r="C344" s="10" t="s">
        <v>7</v>
      </c>
      <c r="D344" s="10" t="str">
        <f>"符婧"</f>
        <v>符婧</v>
      </c>
      <c r="E344" s="10" t="str">
        <f t="shared" si="10"/>
        <v>女</v>
      </c>
      <c r="F344" s="10"/>
    </row>
    <row r="345" spans="1:6" ht="34.5" customHeight="1">
      <c r="A345" s="9">
        <v>343</v>
      </c>
      <c r="B345" s="10" t="str">
        <f>"544920230706102920107252"</f>
        <v>544920230706102920107252</v>
      </c>
      <c r="C345" s="10" t="s">
        <v>7</v>
      </c>
      <c r="D345" s="10" t="str">
        <f>"钟琼君"</f>
        <v>钟琼君</v>
      </c>
      <c r="E345" s="10" t="str">
        <f t="shared" si="10"/>
        <v>女</v>
      </c>
      <c r="F345" s="10"/>
    </row>
    <row r="346" spans="1:6" ht="34.5" customHeight="1">
      <c r="A346" s="9">
        <v>344</v>
      </c>
      <c r="B346" s="10" t="str">
        <f>"544920230706143919108910"</f>
        <v>544920230706143919108910</v>
      </c>
      <c r="C346" s="10" t="s">
        <v>7</v>
      </c>
      <c r="D346" s="10" t="str">
        <f>"蓝晶晶"</f>
        <v>蓝晶晶</v>
      </c>
      <c r="E346" s="10" t="str">
        <f t="shared" si="10"/>
        <v>女</v>
      </c>
      <c r="F346" s="10" t="str">
        <f>"身份证后四位为1404"</f>
        <v>身份证后四位为1404</v>
      </c>
    </row>
    <row r="347" spans="1:6" ht="34.5" customHeight="1">
      <c r="A347" s="9">
        <v>345</v>
      </c>
      <c r="B347" s="10" t="str">
        <f>"54492023070214573193859"</f>
        <v>54492023070214573193859</v>
      </c>
      <c r="C347" s="10" t="s">
        <v>7</v>
      </c>
      <c r="D347" s="10" t="str">
        <f>"梁其腾"</f>
        <v>梁其腾</v>
      </c>
      <c r="E347" s="10" t="str">
        <f>"男"</f>
        <v>男</v>
      </c>
      <c r="F347" s="10"/>
    </row>
    <row r="348" spans="1:6" ht="34.5" customHeight="1">
      <c r="A348" s="9">
        <v>346</v>
      </c>
      <c r="B348" s="10" t="str">
        <f>"544920230706142721108824"</f>
        <v>544920230706142721108824</v>
      </c>
      <c r="C348" s="10" t="s">
        <v>7</v>
      </c>
      <c r="D348" s="10" t="str">
        <f>"左斌"</f>
        <v>左斌</v>
      </c>
      <c r="E348" s="10" t="str">
        <f>"男"</f>
        <v>男</v>
      </c>
      <c r="F348" s="10"/>
    </row>
    <row r="349" spans="1:6" ht="34.5" customHeight="1">
      <c r="A349" s="9">
        <v>347</v>
      </c>
      <c r="B349" s="10" t="str">
        <f>"544920230706154224109319"</f>
        <v>544920230706154224109319</v>
      </c>
      <c r="C349" s="10" t="s">
        <v>7</v>
      </c>
      <c r="D349" s="10" t="str">
        <f>"陈文婷"</f>
        <v>陈文婷</v>
      </c>
      <c r="E349" s="10" t="str">
        <f aca="true" t="shared" si="11" ref="E349:E355">"女"</f>
        <v>女</v>
      </c>
      <c r="F349" s="10"/>
    </row>
    <row r="350" spans="1:6" ht="34.5" customHeight="1">
      <c r="A350" s="9">
        <v>348</v>
      </c>
      <c r="B350" s="10" t="str">
        <f>"544920230706114852107907"</f>
        <v>544920230706114852107907</v>
      </c>
      <c r="C350" s="10" t="s">
        <v>7</v>
      </c>
      <c r="D350" s="10" t="str">
        <f>"王曼瑾"</f>
        <v>王曼瑾</v>
      </c>
      <c r="E350" s="10" t="str">
        <f t="shared" si="11"/>
        <v>女</v>
      </c>
      <c r="F350" s="10"/>
    </row>
    <row r="351" spans="1:6" ht="34.5" customHeight="1">
      <c r="A351" s="9">
        <v>349</v>
      </c>
      <c r="B351" s="10" t="str">
        <f>"544920230706161649109567"</f>
        <v>544920230706161649109567</v>
      </c>
      <c r="C351" s="10" t="s">
        <v>7</v>
      </c>
      <c r="D351" s="10" t="str">
        <f>"陈韵"</f>
        <v>陈韵</v>
      </c>
      <c r="E351" s="10" t="str">
        <f t="shared" si="11"/>
        <v>女</v>
      </c>
      <c r="F351" s="10"/>
    </row>
    <row r="352" spans="1:6" ht="34.5" customHeight="1">
      <c r="A352" s="9">
        <v>350</v>
      </c>
      <c r="B352" s="10" t="str">
        <f>"544920230706164832109792"</f>
        <v>544920230706164832109792</v>
      </c>
      <c r="C352" s="10" t="s">
        <v>7</v>
      </c>
      <c r="D352" s="10" t="str">
        <f>"陈星"</f>
        <v>陈星</v>
      </c>
      <c r="E352" s="10" t="str">
        <f t="shared" si="11"/>
        <v>女</v>
      </c>
      <c r="F352" s="10"/>
    </row>
    <row r="353" spans="1:6" ht="34.5" customHeight="1">
      <c r="A353" s="9">
        <v>351</v>
      </c>
      <c r="B353" s="10" t="str">
        <f>"544920230706164816109789"</f>
        <v>544920230706164816109789</v>
      </c>
      <c r="C353" s="10" t="s">
        <v>7</v>
      </c>
      <c r="D353" s="10" t="str">
        <f>"梁颖"</f>
        <v>梁颖</v>
      </c>
      <c r="E353" s="10" t="str">
        <f t="shared" si="11"/>
        <v>女</v>
      </c>
      <c r="F353" s="10"/>
    </row>
    <row r="354" spans="1:6" ht="34.5" customHeight="1">
      <c r="A354" s="9">
        <v>352</v>
      </c>
      <c r="B354" s="10" t="str">
        <f>"544920230706161354109544"</f>
        <v>544920230706161354109544</v>
      </c>
      <c r="C354" s="10" t="s">
        <v>7</v>
      </c>
      <c r="D354" s="10" t="str">
        <f>"林蕾"</f>
        <v>林蕾</v>
      </c>
      <c r="E354" s="10" t="str">
        <f t="shared" si="11"/>
        <v>女</v>
      </c>
      <c r="F354" s="10"/>
    </row>
    <row r="355" spans="1:6" ht="34.5" customHeight="1">
      <c r="A355" s="9">
        <v>353</v>
      </c>
      <c r="B355" s="10" t="str">
        <f>"544920230706165523109847"</f>
        <v>544920230706165523109847</v>
      </c>
      <c r="C355" s="10" t="s">
        <v>7</v>
      </c>
      <c r="D355" s="10" t="str">
        <f>"傅蓉"</f>
        <v>傅蓉</v>
      </c>
      <c r="E355" s="10" t="str">
        <f t="shared" si="11"/>
        <v>女</v>
      </c>
      <c r="F355" s="10"/>
    </row>
    <row r="356" spans="1:6" ht="34.5" customHeight="1">
      <c r="A356" s="9">
        <v>354</v>
      </c>
      <c r="B356" s="10" t="str">
        <f>"544920230706161525109555"</f>
        <v>544920230706161525109555</v>
      </c>
      <c r="C356" s="10" t="s">
        <v>7</v>
      </c>
      <c r="D356" s="10" t="str">
        <f>"赵文立"</f>
        <v>赵文立</v>
      </c>
      <c r="E356" s="10" t="str">
        <f>"男"</f>
        <v>男</v>
      </c>
      <c r="F356" s="10"/>
    </row>
    <row r="357" spans="1:6" ht="34.5" customHeight="1">
      <c r="A357" s="9">
        <v>355</v>
      </c>
      <c r="B357" s="10" t="str">
        <f>"544920230706131242108435"</f>
        <v>544920230706131242108435</v>
      </c>
      <c r="C357" s="10" t="s">
        <v>7</v>
      </c>
      <c r="D357" s="10" t="str">
        <f>"唐祥丽"</f>
        <v>唐祥丽</v>
      </c>
      <c r="E357" s="10" t="str">
        <f aca="true" t="shared" si="12" ref="E357:E368">"女"</f>
        <v>女</v>
      </c>
      <c r="F357" s="10"/>
    </row>
    <row r="358" spans="1:6" ht="34.5" customHeight="1">
      <c r="A358" s="9">
        <v>356</v>
      </c>
      <c r="B358" s="10" t="str">
        <f>"544920230705160156105057"</f>
        <v>544920230705160156105057</v>
      </c>
      <c r="C358" s="10" t="s">
        <v>7</v>
      </c>
      <c r="D358" s="10" t="str">
        <f>"陈足莲"</f>
        <v>陈足莲</v>
      </c>
      <c r="E358" s="10" t="str">
        <f t="shared" si="12"/>
        <v>女</v>
      </c>
      <c r="F358" s="10"/>
    </row>
    <row r="359" spans="1:6" ht="34.5" customHeight="1">
      <c r="A359" s="9">
        <v>357</v>
      </c>
      <c r="B359" s="10" t="str">
        <f>"544920230706174714110126"</f>
        <v>544920230706174714110126</v>
      </c>
      <c r="C359" s="10" t="s">
        <v>7</v>
      </c>
      <c r="D359" s="10" t="str">
        <f>"罗玲丽"</f>
        <v>罗玲丽</v>
      </c>
      <c r="E359" s="10" t="str">
        <f t="shared" si="12"/>
        <v>女</v>
      </c>
      <c r="F359" s="10"/>
    </row>
    <row r="360" spans="1:6" ht="34.5" customHeight="1">
      <c r="A360" s="9">
        <v>358</v>
      </c>
      <c r="B360" s="10" t="str">
        <f>"544920230705192659105413"</f>
        <v>544920230705192659105413</v>
      </c>
      <c r="C360" s="10" t="s">
        <v>7</v>
      </c>
      <c r="D360" s="10" t="str">
        <f>"曹敏娜"</f>
        <v>曹敏娜</v>
      </c>
      <c r="E360" s="10" t="str">
        <f t="shared" si="12"/>
        <v>女</v>
      </c>
      <c r="F360" s="10"/>
    </row>
    <row r="361" spans="1:6" ht="34.5" customHeight="1">
      <c r="A361" s="9">
        <v>359</v>
      </c>
      <c r="B361" s="10" t="str">
        <f>"544920230706193908110502"</f>
        <v>544920230706193908110502</v>
      </c>
      <c r="C361" s="10" t="s">
        <v>7</v>
      </c>
      <c r="D361" s="10" t="str">
        <f>"符心怡"</f>
        <v>符心怡</v>
      </c>
      <c r="E361" s="10" t="str">
        <f t="shared" si="12"/>
        <v>女</v>
      </c>
      <c r="F361" s="10"/>
    </row>
    <row r="362" spans="1:6" ht="34.5" customHeight="1">
      <c r="A362" s="9">
        <v>360</v>
      </c>
      <c r="B362" s="10" t="str">
        <f>"54492023070320345299399"</f>
        <v>54492023070320345299399</v>
      </c>
      <c r="C362" s="10" t="s">
        <v>7</v>
      </c>
      <c r="D362" s="10" t="str">
        <f>"周女桢"</f>
        <v>周女桢</v>
      </c>
      <c r="E362" s="10" t="str">
        <f t="shared" si="12"/>
        <v>女</v>
      </c>
      <c r="F362" s="10"/>
    </row>
    <row r="363" spans="1:6" ht="34.5" customHeight="1">
      <c r="A363" s="9">
        <v>361</v>
      </c>
      <c r="B363" s="10" t="str">
        <f>"544920230706162634109640"</f>
        <v>544920230706162634109640</v>
      </c>
      <c r="C363" s="10" t="s">
        <v>7</v>
      </c>
      <c r="D363" s="10" t="str">
        <f>"董菲菲"</f>
        <v>董菲菲</v>
      </c>
      <c r="E363" s="10" t="str">
        <f t="shared" si="12"/>
        <v>女</v>
      </c>
      <c r="F363" s="10"/>
    </row>
    <row r="364" spans="1:6" ht="34.5" customHeight="1">
      <c r="A364" s="9">
        <v>362</v>
      </c>
      <c r="B364" s="10" t="str">
        <f>"544920230706213151110977"</f>
        <v>544920230706213151110977</v>
      </c>
      <c r="C364" s="10" t="s">
        <v>7</v>
      </c>
      <c r="D364" s="10" t="str">
        <f>"罗天蝉"</f>
        <v>罗天蝉</v>
      </c>
      <c r="E364" s="10" t="str">
        <f t="shared" si="12"/>
        <v>女</v>
      </c>
      <c r="F364" s="10"/>
    </row>
    <row r="365" spans="1:6" ht="34.5" customHeight="1">
      <c r="A365" s="9">
        <v>363</v>
      </c>
      <c r="B365" s="10" t="str">
        <f>"544920230706220955111135"</f>
        <v>544920230706220955111135</v>
      </c>
      <c r="C365" s="10" t="s">
        <v>7</v>
      </c>
      <c r="D365" s="10" t="str">
        <f>"陈燕布"</f>
        <v>陈燕布</v>
      </c>
      <c r="E365" s="10" t="str">
        <f t="shared" si="12"/>
        <v>女</v>
      </c>
      <c r="F365" s="10"/>
    </row>
    <row r="366" spans="1:6" ht="34.5" customHeight="1">
      <c r="A366" s="9">
        <v>364</v>
      </c>
      <c r="B366" s="10" t="str">
        <f>"544920230706224431111262"</f>
        <v>544920230706224431111262</v>
      </c>
      <c r="C366" s="10" t="s">
        <v>7</v>
      </c>
      <c r="D366" s="10" t="str">
        <f>"钟燕含"</f>
        <v>钟燕含</v>
      </c>
      <c r="E366" s="10" t="str">
        <f t="shared" si="12"/>
        <v>女</v>
      </c>
      <c r="F366" s="10"/>
    </row>
    <row r="367" spans="1:6" ht="34.5" customHeight="1">
      <c r="A367" s="9">
        <v>365</v>
      </c>
      <c r="B367" s="10" t="str">
        <f>"544920230705065356103589"</f>
        <v>544920230705065356103589</v>
      </c>
      <c r="C367" s="10" t="s">
        <v>7</v>
      </c>
      <c r="D367" s="10" t="str">
        <f>"吴雨虹"</f>
        <v>吴雨虹</v>
      </c>
      <c r="E367" s="10" t="str">
        <f t="shared" si="12"/>
        <v>女</v>
      </c>
      <c r="F367" s="10"/>
    </row>
    <row r="368" spans="1:6" ht="34.5" customHeight="1">
      <c r="A368" s="9">
        <v>366</v>
      </c>
      <c r="B368" s="10" t="str">
        <f>"54492023070313054497293"</f>
        <v>54492023070313054497293</v>
      </c>
      <c r="C368" s="10" t="s">
        <v>7</v>
      </c>
      <c r="D368" s="10" t="str">
        <f>"莫欣欣"</f>
        <v>莫欣欣</v>
      </c>
      <c r="E368" s="10" t="str">
        <f t="shared" si="12"/>
        <v>女</v>
      </c>
      <c r="F368" s="10"/>
    </row>
    <row r="369" spans="1:6" ht="34.5" customHeight="1">
      <c r="A369" s="9">
        <v>367</v>
      </c>
      <c r="B369" s="10" t="str">
        <f>"544920230704224858103342"</f>
        <v>544920230704224858103342</v>
      </c>
      <c r="C369" s="10" t="s">
        <v>7</v>
      </c>
      <c r="D369" s="10" t="str">
        <f>"李元昊"</f>
        <v>李元昊</v>
      </c>
      <c r="E369" s="10" t="str">
        <f>"男"</f>
        <v>男</v>
      </c>
      <c r="F369" s="10"/>
    </row>
    <row r="370" spans="1:6" ht="34.5" customHeight="1">
      <c r="A370" s="9">
        <v>368</v>
      </c>
      <c r="B370" s="10" t="str">
        <f>"544920230704172540102530"</f>
        <v>544920230704172540102530</v>
      </c>
      <c r="C370" s="10" t="s">
        <v>7</v>
      </c>
      <c r="D370" s="10" t="str">
        <f>"唐桂楼"</f>
        <v>唐桂楼</v>
      </c>
      <c r="E370" s="10" t="str">
        <f aca="true" t="shared" si="13" ref="E370:E389">"女"</f>
        <v>女</v>
      </c>
      <c r="F370" s="10"/>
    </row>
    <row r="371" spans="1:6" ht="34.5" customHeight="1">
      <c r="A371" s="9">
        <v>369</v>
      </c>
      <c r="B371" s="10" t="str">
        <f>"544920230706062530105881"</f>
        <v>544920230706062530105881</v>
      </c>
      <c r="C371" s="10" t="s">
        <v>7</v>
      </c>
      <c r="D371" s="10" t="str">
        <f>"谢凤妹"</f>
        <v>谢凤妹</v>
      </c>
      <c r="E371" s="10" t="str">
        <f t="shared" si="13"/>
        <v>女</v>
      </c>
      <c r="F371" s="10"/>
    </row>
    <row r="372" spans="1:6" ht="34.5" customHeight="1">
      <c r="A372" s="9">
        <v>370</v>
      </c>
      <c r="B372" s="10" t="str">
        <f>"544920230706202834110689"</f>
        <v>544920230706202834110689</v>
      </c>
      <c r="C372" s="10" t="s">
        <v>7</v>
      </c>
      <c r="D372" s="10" t="str">
        <f>"罗成妹"</f>
        <v>罗成妹</v>
      </c>
      <c r="E372" s="10" t="str">
        <f t="shared" si="13"/>
        <v>女</v>
      </c>
      <c r="F372" s="10"/>
    </row>
    <row r="373" spans="1:6" ht="34.5" customHeight="1">
      <c r="A373" s="9">
        <v>371</v>
      </c>
      <c r="B373" s="10" t="str">
        <f>"544920230706231803111363"</f>
        <v>544920230706231803111363</v>
      </c>
      <c r="C373" s="10" t="s">
        <v>7</v>
      </c>
      <c r="D373" s="10" t="str">
        <f>"邓凯丽"</f>
        <v>邓凯丽</v>
      </c>
      <c r="E373" s="10" t="str">
        <f t="shared" si="13"/>
        <v>女</v>
      </c>
      <c r="F373" s="10"/>
    </row>
    <row r="374" spans="1:6" ht="34.5" customHeight="1">
      <c r="A374" s="9">
        <v>372</v>
      </c>
      <c r="B374" s="10" t="str">
        <f>"544920230707085052111697"</f>
        <v>544920230707085052111697</v>
      </c>
      <c r="C374" s="10" t="s">
        <v>7</v>
      </c>
      <c r="D374" s="10" t="str">
        <f>"黄亚孟"</f>
        <v>黄亚孟</v>
      </c>
      <c r="E374" s="10" t="str">
        <f t="shared" si="13"/>
        <v>女</v>
      </c>
      <c r="F374" s="10"/>
    </row>
    <row r="375" spans="1:6" ht="34.5" customHeight="1">
      <c r="A375" s="9">
        <v>373</v>
      </c>
      <c r="B375" s="10" t="str">
        <f>"544920230707092124111861"</f>
        <v>544920230707092124111861</v>
      </c>
      <c r="C375" s="10" t="s">
        <v>7</v>
      </c>
      <c r="D375" s="10" t="str">
        <f>"周娟"</f>
        <v>周娟</v>
      </c>
      <c r="E375" s="10" t="str">
        <f t="shared" si="13"/>
        <v>女</v>
      </c>
      <c r="F375" s="10"/>
    </row>
    <row r="376" spans="1:6" ht="34.5" customHeight="1">
      <c r="A376" s="9">
        <v>374</v>
      </c>
      <c r="B376" s="10" t="str">
        <f>"544920230707104123112400"</f>
        <v>544920230707104123112400</v>
      </c>
      <c r="C376" s="10" t="s">
        <v>7</v>
      </c>
      <c r="D376" s="10" t="str">
        <f>"容镜希"</f>
        <v>容镜希</v>
      </c>
      <c r="E376" s="10" t="str">
        <f t="shared" si="13"/>
        <v>女</v>
      </c>
      <c r="F376" s="10"/>
    </row>
    <row r="377" spans="1:6" ht="34.5" customHeight="1">
      <c r="A377" s="9">
        <v>375</v>
      </c>
      <c r="B377" s="10" t="str">
        <f>"544920230706163258109682"</f>
        <v>544920230706163258109682</v>
      </c>
      <c r="C377" s="10" t="s">
        <v>7</v>
      </c>
      <c r="D377" s="10" t="str">
        <f>"陈东琳"</f>
        <v>陈东琳</v>
      </c>
      <c r="E377" s="10" t="str">
        <f t="shared" si="13"/>
        <v>女</v>
      </c>
      <c r="F377" s="10"/>
    </row>
    <row r="378" spans="1:6" ht="34.5" customHeight="1">
      <c r="A378" s="9">
        <v>376</v>
      </c>
      <c r="B378" s="10" t="str">
        <f>"544920230707104141112401"</f>
        <v>544920230707104141112401</v>
      </c>
      <c r="C378" s="10" t="s">
        <v>7</v>
      </c>
      <c r="D378" s="10" t="str">
        <f>"梁亚团"</f>
        <v>梁亚团</v>
      </c>
      <c r="E378" s="10" t="str">
        <f t="shared" si="13"/>
        <v>女</v>
      </c>
      <c r="F378" s="10"/>
    </row>
    <row r="379" spans="1:6" ht="34.5" customHeight="1">
      <c r="A379" s="9">
        <v>377</v>
      </c>
      <c r="B379" s="10" t="str">
        <f>"544920230707110732112551"</f>
        <v>544920230707110732112551</v>
      </c>
      <c r="C379" s="10" t="s">
        <v>7</v>
      </c>
      <c r="D379" s="10" t="str">
        <f>"邹芷寒"</f>
        <v>邹芷寒</v>
      </c>
      <c r="E379" s="10" t="str">
        <f t="shared" si="13"/>
        <v>女</v>
      </c>
      <c r="F379" s="10"/>
    </row>
    <row r="380" spans="1:6" ht="34.5" customHeight="1">
      <c r="A380" s="9">
        <v>378</v>
      </c>
      <c r="B380" s="10" t="str">
        <f>"544920230706224318111259"</f>
        <v>544920230706224318111259</v>
      </c>
      <c r="C380" s="10" t="s">
        <v>7</v>
      </c>
      <c r="D380" s="10" t="str">
        <f>"黎灵娟"</f>
        <v>黎灵娟</v>
      </c>
      <c r="E380" s="10" t="str">
        <f t="shared" si="13"/>
        <v>女</v>
      </c>
      <c r="F380" s="10"/>
    </row>
    <row r="381" spans="1:6" ht="34.5" customHeight="1">
      <c r="A381" s="9">
        <v>379</v>
      </c>
      <c r="B381" s="10" t="str">
        <f>"544920230707111024112569"</f>
        <v>544920230707111024112569</v>
      </c>
      <c r="C381" s="10" t="s">
        <v>7</v>
      </c>
      <c r="D381" s="10" t="str">
        <f>"王小娜"</f>
        <v>王小娜</v>
      </c>
      <c r="E381" s="10" t="str">
        <f t="shared" si="13"/>
        <v>女</v>
      </c>
      <c r="F381" s="10"/>
    </row>
    <row r="382" spans="1:6" ht="34.5" customHeight="1">
      <c r="A382" s="9">
        <v>380</v>
      </c>
      <c r="B382" s="10" t="str">
        <f>"544920230707114613112787"</f>
        <v>544920230707114613112787</v>
      </c>
      <c r="C382" s="10" t="s">
        <v>7</v>
      </c>
      <c r="D382" s="10" t="str">
        <f>"邢璐璐"</f>
        <v>邢璐璐</v>
      </c>
      <c r="E382" s="10" t="str">
        <f t="shared" si="13"/>
        <v>女</v>
      </c>
      <c r="F382" s="10"/>
    </row>
    <row r="383" spans="1:6" ht="34.5" customHeight="1">
      <c r="A383" s="9">
        <v>381</v>
      </c>
      <c r="B383" s="10" t="str">
        <f>"544920230707120222112865"</f>
        <v>544920230707120222112865</v>
      </c>
      <c r="C383" s="10" t="s">
        <v>7</v>
      </c>
      <c r="D383" s="10" t="str">
        <f>"麦惠群"</f>
        <v>麦惠群</v>
      </c>
      <c r="E383" s="10" t="str">
        <f t="shared" si="13"/>
        <v>女</v>
      </c>
      <c r="F383" s="10"/>
    </row>
    <row r="384" spans="1:6" ht="34.5" customHeight="1">
      <c r="A384" s="9">
        <v>382</v>
      </c>
      <c r="B384" s="10" t="str">
        <f>"544920230707120126112860"</f>
        <v>544920230707120126112860</v>
      </c>
      <c r="C384" s="10" t="s">
        <v>7</v>
      </c>
      <c r="D384" s="10" t="str">
        <f>"孟晓莉"</f>
        <v>孟晓莉</v>
      </c>
      <c r="E384" s="10" t="str">
        <f t="shared" si="13"/>
        <v>女</v>
      </c>
      <c r="F384" s="10"/>
    </row>
    <row r="385" spans="1:6" ht="34.5" customHeight="1">
      <c r="A385" s="9">
        <v>383</v>
      </c>
      <c r="B385" s="10" t="str">
        <f>"544920230707121317112907"</f>
        <v>544920230707121317112907</v>
      </c>
      <c r="C385" s="10" t="s">
        <v>7</v>
      </c>
      <c r="D385" s="10" t="str">
        <f>"高雨萌"</f>
        <v>高雨萌</v>
      </c>
      <c r="E385" s="10" t="str">
        <f t="shared" si="13"/>
        <v>女</v>
      </c>
      <c r="F385" s="10"/>
    </row>
    <row r="386" spans="1:6" ht="34.5" customHeight="1">
      <c r="A386" s="9">
        <v>384</v>
      </c>
      <c r="B386" s="10" t="str">
        <f>"544920230706191310110425"</f>
        <v>544920230706191310110425</v>
      </c>
      <c r="C386" s="10" t="s">
        <v>7</v>
      </c>
      <c r="D386" s="10" t="str">
        <f>"曲鹏"</f>
        <v>曲鹏</v>
      </c>
      <c r="E386" s="10" t="str">
        <f t="shared" si="13"/>
        <v>女</v>
      </c>
      <c r="F386" s="10"/>
    </row>
    <row r="387" spans="1:6" ht="34.5" customHeight="1">
      <c r="A387" s="9">
        <v>385</v>
      </c>
      <c r="B387" s="10" t="str">
        <f>"544920230707122545112956"</f>
        <v>544920230707122545112956</v>
      </c>
      <c r="C387" s="10" t="s">
        <v>7</v>
      </c>
      <c r="D387" s="10" t="str">
        <f>"吉训春"</f>
        <v>吉训春</v>
      </c>
      <c r="E387" s="10" t="str">
        <f t="shared" si="13"/>
        <v>女</v>
      </c>
      <c r="F387" s="10"/>
    </row>
    <row r="388" spans="1:6" ht="34.5" customHeight="1">
      <c r="A388" s="9">
        <v>386</v>
      </c>
      <c r="B388" s="10" t="str">
        <f>"544920230707123441112991"</f>
        <v>544920230707123441112991</v>
      </c>
      <c r="C388" s="10" t="s">
        <v>7</v>
      </c>
      <c r="D388" s="10" t="str">
        <f>"庞琳"</f>
        <v>庞琳</v>
      </c>
      <c r="E388" s="10" t="str">
        <f t="shared" si="13"/>
        <v>女</v>
      </c>
      <c r="F388" s="10"/>
    </row>
    <row r="389" spans="1:6" ht="34.5" customHeight="1">
      <c r="A389" s="9">
        <v>387</v>
      </c>
      <c r="B389" s="10" t="str">
        <f>"544920230707135952113398"</f>
        <v>544920230707135952113398</v>
      </c>
      <c r="C389" s="10" t="s">
        <v>7</v>
      </c>
      <c r="D389" s="10" t="str">
        <f>"詹美清"</f>
        <v>詹美清</v>
      </c>
      <c r="E389" s="10" t="str">
        <f t="shared" si="13"/>
        <v>女</v>
      </c>
      <c r="F389" s="10"/>
    </row>
    <row r="390" spans="1:6" ht="34.5" customHeight="1">
      <c r="A390" s="9">
        <v>388</v>
      </c>
      <c r="B390" s="10" t="str">
        <f>"544920230707140649113428"</f>
        <v>544920230707140649113428</v>
      </c>
      <c r="C390" s="10" t="s">
        <v>7</v>
      </c>
      <c r="D390" s="10" t="str">
        <f>"吴珏环"</f>
        <v>吴珏环</v>
      </c>
      <c r="E390" s="10" t="str">
        <f>"男"</f>
        <v>男</v>
      </c>
      <c r="F390" s="10"/>
    </row>
    <row r="391" spans="1:6" ht="34.5" customHeight="1">
      <c r="A391" s="9">
        <v>389</v>
      </c>
      <c r="B391" s="10" t="str">
        <f>"544920230707143556113552"</f>
        <v>544920230707143556113552</v>
      </c>
      <c r="C391" s="10" t="s">
        <v>7</v>
      </c>
      <c r="D391" s="10" t="str">
        <f>"邢露露"</f>
        <v>邢露露</v>
      </c>
      <c r="E391" s="10" t="str">
        <f aca="true" t="shared" si="14" ref="E391:E454">"女"</f>
        <v>女</v>
      </c>
      <c r="F391" s="10"/>
    </row>
    <row r="392" spans="1:6" ht="34.5" customHeight="1">
      <c r="A392" s="9">
        <v>390</v>
      </c>
      <c r="B392" s="10" t="str">
        <f>"544920230707005823111482"</f>
        <v>544920230707005823111482</v>
      </c>
      <c r="C392" s="10" t="s">
        <v>7</v>
      </c>
      <c r="D392" s="10" t="str">
        <f>"黄子虹"</f>
        <v>黄子虹</v>
      </c>
      <c r="E392" s="10" t="str">
        <f t="shared" si="14"/>
        <v>女</v>
      </c>
      <c r="F392" s="10"/>
    </row>
    <row r="393" spans="1:6" ht="34.5" customHeight="1">
      <c r="A393" s="9">
        <v>391</v>
      </c>
      <c r="B393" s="10" t="str">
        <f>"544920230707144759113609"</f>
        <v>544920230707144759113609</v>
      </c>
      <c r="C393" s="10" t="s">
        <v>7</v>
      </c>
      <c r="D393" s="10" t="str">
        <f>"王宝银"</f>
        <v>王宝银</v>
      </c>
      <c r="E393" s="10" t="str">
        <f t="shared" si="14"/>
        <v>女</v>
      </c>
      <c r="F393" s="10"/>
    </row>
    <row r="394" spans="1:6" ht="34.5" customHeight="1">
      <c r="A394" s="9">
        <v>392</v>
      </c>
      <c r="B394" s="10" t="str">
        <f>"544920230707160652114013"</f>
        <v>544920230707160652114013</v>
      </c>
      <c r="C394" s="10" t="s">
        <v>7</v>
      </c>
      <c r="D394" s="10" t="str">
        <f>"李华成"</f>
        <v>李华成</v>
      </c>
      <c r="E394" s="10" t="str">
        <f t="shared" si="14"/>
        <v>女</v>
      </c>
      <c r="F394" s="10"/>
    </row>
    <row r="395" spans="1:6" ht="34.5" customHeight="1">
      <c r="A395" s="9">
        <v>393</v>
      </c>
      <c r="B395" s="10" t="str">
        <f>"544920230707170235114265"</f>
        <v>544920230707170235114265</v>
      </c>
      <c r="C395" s="10" t="s">
        <v>7</v>
      </c>
      <c r="D395" s="10" t="str">
        <f>"李薇"</f>
        <v>李薇</v>
      </c>
      <c r="E395" s="10" t="str">
        <f t="shared" si="14"/>
        <v>女</v>
      </c>
      <c r="F395" s="10"/>
    </row>
    <row r="396" spans="1:6" ht="34.5" customHeight="1">
      <c r="A396" s="9">
        <v>394</v>
      </c>
      <c r="B396" s="10" t="str">
        <f>"544920230707170412114269"</f>
        <v>544920230707170412114269</v>
      </c>
      <c r="C396" s="10" t="s">
        <v>7</v>
      </c>
      <c r="D396" s="10" t="str">
        <f>"苏雅"</f>
        <v>苏雅</v>
      </c>
      <c r="E396" s="10" t="str">
        <f t="shared" si="14"/>
        <v>女</v>
      </c>
      <c r="F396" s="10"/>
    </row>
    <row r="397" spans="1:6" ht="34.5" customHeight="1">
      <c r="A397" s="9">
        <v>395</v>
      </c>
      <c r="B397" s="10" t="str">
        <f>"54492023070309173895663"</f>
        <v>54492023070309173895663</v>
      </c>
      <c r="C397" s="10" t="s">
        <v>7</v>
      </c>
      <c r="D397" s="10" t="str">
        <f>"李慧霞"</f>
        <v>李慧霞</v>
      </c>
      <c r="E397" s="10" t="str">
        <f t="shared" si="14"/>
        <v>女</v>
      </c>
      <c r="F397" s="10"/>
    </row>
    <row r="398" spans="1:6" ht="34.5" customHeight="1">
      <c r="A398" s="9">
        <v>396</v>
      </c>
      <c r="B398" s="10" t="str">
        <f>"544920230705165554105209"</f>
        <v>544920230705165554105209</v>
      </c>
      <c r="C398" s="10" t="s">
        <v>7</v>
      </c>
      <c r="D398" s="10" t="str">
        <f>"兰曼"</f>
        <v>兰曼</v>
      </c>
      <c r="E398" s="10" t="str">
        <f t="shared" si="14"/>
        <v>女</v>
      </c>
      <c r="F398" s="10"/>
    </row>
    <row r="399" spans="1:6" ht="34.5" customHeight="1">
      <c r="A399" s="9">
        <v>397</v>
      </c>
      <c r="B399" s="10" t="str">
        <f>"544920230707160003113981"</f>
        <v>544920230707160003113981</v>
      </c>
      <c r="C399" s="10" t="s">
        <v>7</v>
      </c>
      <c r="D399" s="10" t="str">
        <f>"林炽婷"</f>
        <v>林炽婷</v>
      </c>
      <c r="E399" s="10" t="str">
        <f t="shared" si="14"/>
        <v>女</v>
      </c>
      <c r="F399" s="10"/>
    </row>
    <row r="400" spans="1:6" ht="34.5" customHeight="1">
      <c r="A400" s="9">
        <v>398</v>
      </c>
      <c r="B400" s="10" t="str">
        <f>"544920230704213558103145"</f>
        <v>544920230704213558103145</v>
      </c>
      <c r="C400" s="10" t="s">
        <v>7</v>
      </c>
      <c r="D400" s="10" t="str">
        <f>"冯晓丽"</f>
        <v>冯晓丽</v>
      </c>
      <c r="E400" s="10" t="str">
        <f t="shared" si="14"/>
        <v>女</v>
      </c>
      <c r="F400" s="10"/>
    </row>
    <row r="401" spans="1:6" ht="34.5" customHeight="1">
      <c r="A401" s="9">
        <v>399</v>
      </c>
      <c r="B401" s="10" t="str">
        <f>"544920230707133616113296"</f>
        <v>544920230707133616113296</v>
      </c>
      <c r="C401" s="10" t="s">
        <v>7</v>
      </c>
      <c r="D401" s="10" t="str">
        <f>"王嘉仪"</f>
        <v>王嘉仪</v>
      </c>
      <c r="E401" s="10" t="str">
        <f t="shared" si="14"/>
        <v>女</v>
      </c>
      <c r="F401" s="10"/>
    </row>
    <row r="402" spans="1:6" ht="34.5" customHeight="1">
      <c r="A402" s="9">
        <v>400</v>
      </c>
      <c r="B402" s="10" t="str">
        <f>"544920230707205426114990"</f>
        <v>544920230707205426114990</v>
      </c>
      <c r="C402" s="10" t="s">
        <v>7</v>
      </c>
      <c r="D402" s="10" t="str">
        <f>"王蕾"</f>
        <v>王蕾</v>
      </c>
      <c r="E402" s="10" t="str">
        <f t="shared" si="14"/>
        <v>女</v>
      </c>
      <c r="F402" s="10"/>
    </row>
    <row r="403" spans="1:6" ht="34.5" customHeight="1">
      <c r="A403" s="9">
        <v>401</v>
      </c>
      <c r="B403" s="10" t="str">
        <f>"544920230707210417115032"</f>
        <v>544920230707210417115032</v>
      </c>
      <c r="C403" s="10" t="s">
        <v>7</v>
      </c>
      <c r="D403" s="10" t="str">
        <f>"陈君君"</f>
        <v>陈君君</v>
      </c>
      <c r="E403" s="10" t="str">
        <f t="shared" si="14"/>
        <v>女</v>
      </c>
      <c r="F403" s="10"/>
    </row>
    <row r="404" spans="1:6" ht="34.5" customHeight="1">
      <c r="A404" s="9">
        <v>402</v>
      </c>
      <c r="B404" s="10" t="str">
        <f>"544920230707211409115056"</f>
        <v>544920230707211409115056</v>
      </c>
      <c r="C404" s="10" t="s">
        <v>7</v>
      </c>
      <c r="D404" s="10" t="str">
        <f>"郑文竹"</f>
        <v>郑文竹</v>
      </c>
      <c r="E404" s="10" t="str">
        <f t="shared" si="14"/>
        <v>女</v>
      </c>
      <c r="F404" s="10"/>
    </row>
    <row r="405" spans="1:6" ht="34.5" customHeight="1">
      <c r="A405" s="9">
        <v>403</v>
      </c>
      <c r="B405" s="10" t="str">
        <f>"544920230707213400115123"</f>
        <v>544920230707213400115123</v>
      </c>
      <c r="C405" s="10" t="s">
        <v>7</v>
      </c>
      <c r="D405" s="10" t="str">
        <f>"范聪"</f>
        <v>范聪</v>
      </c>
      <c r="E405" s="10" t="str">
        <f t="shared" si="14"/>
        <v>女</v>
      </c>
      <c r="F405" s="10"/>
    </row>
    <row r="406" spans="1:6" ht="34.5" customHeight="1">
      <c r="A406" s="9">
        <v>404</v>
      </c>
      <c r="B406" s="10" t="str">
        <f>"544920230706172504110016"</f>
        <v>544920230706172504110016</v>
      </c>
      <c r="C406" s="10" t="s">
        <v>7</v>
      </c>
      <c r="D406" s="10" t="str">
        <f>"刘雪洁"</f>
        <v>刘雪洁</v>
      </c>
      <c r="E406" s="10" t="str">
        <f t="shared" si="14"/>
        <v>女</v>
      </c>
      <c r="F406" s="10"/>
    </row>
    <row r="407" spans="1:6" ht="34.5" customHeight="1">
      <c r="A407" s="9">
        <v>405</v>
      </c>
      <c r="B407" s="10" t="str">
        <f>"544920230707215841115212"</f>
        <v>544920230707215841115212</v>
      </c>
      <c r="C407" s="10" t="s">
        <v>7</v>
      </c>
      <c r="D407" s="10" t="str">
        <f>"陈俊如"</f>
        <v>陈俊如</v>
      </c>
      <c r="E407" s="10" t="str">
        <f t="shared" si="14"/>
        <v>女</v>
      </c>
      <c r="F407" s="10"/>
    </row>
    <row r="408" spans="1:6" ht="34.5" customHeight="1">
      <c r="A408" s="9">
        <v>406</v>
      </c>
      <c r="B408" s="10" t="str">
        <f>"544920230707220551115225"</f>
        <v>544920230707220551115225</v>
      </c>
      <c r="C408" s="10" t="s">
        <v>7</v>
      </c>
      <c r="D408" s="10" t="str">
        <f>"裴玉莹"</f>
        <v>裴玉莹</v>
      </c>
      <c r="E408" s="10" t="str">
        <f t="shared" si="14"/>
        <v>女</v>
      </c>
      <c r="F408" s="10"/>
    </row>
    <row r="409" spans="1:6" ht="34.5" customHeight="1">
      <c r="A409" s="9">
        <v>407</v>
      </c>
      <c r="B409" s="10" t="str">
        <f>"544920230707212944115109"</f>
        <v>544920230707212944115109</v>
      </c>
      <c r="C409" s="10" t="s">
        <v>7</v>
      </c>
      <c r="D409" s="10" t="str">
        <f>"云天静"</f>
        <v>云天静</v>
      </c>
      <c r="E409" s="10" t="str">
        <f t="shared" si="14"/>
        <v>女</v>
      </c>
      <c r="F409" s="10"/>
    </row>
    <row r="410" spans="1:6" ht="34.5" customHeight="1">
      <c r="A410" s="9">
        <v>408</v>
      </c>
      <c r="B410" s="10" t="str">
        <f>"544920230707201450114875"</f>
        <v>544920230707201450114875</v>
      </c>
      <c r="C410" s="10" t="s">
        <v>7</v>
      </c>
      <c r="D410" s="10" t="str">
        <f>"李玲"</f>
        <v>李玲</v>
      </c>
      <c r="E410" s="10" t="str">
        <f t="shared" si="14"/>
        <v>女</v>
      </c>
      <c r="F410" s="10"/>
    </row>
    <row r="411" spans="1:6" ht="34.5" customHeight="1">
      <c r="A411" s="9">
        <v>409</v>
      </c>
      <c r="B411" s="10" t="str">
        <f>"544920230707224530115369"</f>
        <v>544920230707224530115369</v>
      </c>
      <c r="C411" s="10" t="s">
        <v>7</v>
      </c>
      <c r="D411" s="10" t="str">
        <f>"崔宇晴"</f>
        <v>崔宇晴</v>
      </c>
      <c r="E411" s="10" t="str">
        <f t="shared" si="14"/>
        <v>女</v>
      </c>
      <c r="F411" s="10"/>
    </row>
    <row r="412" spans="1:6" ht="34.5" customHeight="1">
      <c r="A412" s="9">
        <v>410</v>
      </c>
      <c r="B412" s="10" t="str">
        <f>"54492023070222352294947"</f>
        <v>54492023070222352294947</v>
      </c>
      <c r="C412" s="10" t="s">
        <v>7</v>
      </c>
      <c r="D412" s="10" t="str">
        <f>"毛冬梅"</f>
        <v>毛冬梅</v>
      </c>
      <c r="E412" s="10" t="str">
        <f t="shared" si="14"/>
        <v>女</v>
      </c>
      <c r="F412" s="10"/>
    </row>
    <row r="413" spans="1:6" ht="34.5" customHeight="1">
      <c r="A413" s="9">
        <v>411</v>
      </c>
      <c r="B413" s="10" t="str">
        <f>"544920230707231654115467"</f>
        <v>544920230707231654115467</v>
      </c>
      <c r="C413" s="10" t="s">
        <v>7</v>
      </c>
      <c r="D413" s="10" t="str">
        <f>"陈小琪"</f>
        <v>陈小琪</v>
      </c>
      <c r="E413" s="10" t="str">
        <f t="shared" si="14"/>
        <v>女</v>
      </c>
      <c r="F413" s="10"/>
    </row>
    <row r="414" spans="1:6" ht="34.5" customHeight="1">
      <c r="A414" s="9">
        <v>412</v>
      </c>
      <c r="B414" s="10" t="str">
        <f>"544920230707231643115466"</f>
        <v>544920230707231643115466</v>
      </c>
      <c r="C414" s="10" t="s">
        <v>7</v>
      </c>
      <c r="D414" s="10" t="str">
        <f>"李品"</f>
        <v>李品</v>
      </c>
      <c r="E414" s="10" t="str">
        <f t="shared" si="14"/>
        <v>女</v>
      </c>
      <c r="F414" s="10"/>
    </row>
    <row r="415" spans="1:6" ht="34.5" customHeight="1">
      <c r="A415" s="9">
        <v>413</v>
      </c>
      <c r="B415" s="10" t="str">
        <f>"544920230708000313115561"</f>
        <v>544920230708000313115561</v>
      </c>
      <c r="C415" s="10" t="s">
        <v>7</v>
      </c>
      <c r="D415" s="10" t="str">
        <f>"周晓红"</f>
        <v>周晓红</v>
      </c>
      <c r="E415" s="10" t="str">
        <f t="shared" si="14"/>
        <v>女</v>
      </c>
      <c r="F415" s="10"/>
    </row>
    <row r="416" spans="1:6" ht="34.5" customHeight="1">
      <c r="A416" s="9">
        <v>414</v>
      </c>
      <c r="B416" s="10" t="str">
        <f>"544920230707235747115550"</f>
        <v>544920230707235747115550</v>
      </c>
      <c r="C416" s="10" t="s">
        <v>7</v>
      </c>
      <c r="D416" s="10" t="str">
        <f>"王春梅"</f>
        <v>王春梅</v>
      </c>
      <c r="E416" s="10" t="str">
        <f t="shared" si="14"/>
        <v>女</v>
      </c>
      <c r="F416" s="10"/>
    </row>
    <row r="417" spans="1:6" ht="34.5" customHeight="1">
      <c r="A417" s="9">
        <v>415</v>
      </c>
      <c r="B417" s="10" t="str">
        <f>"544920230707235921115552"</f>
        <v>544920230707235921115552</v>
      </c>
      <c r="C417" s="10" t="s">
        <v>7</v>
      </c>
      <c r="D417" s="10" t="str">
        <f>"高倩"</f>
        <v>高倩</v>
      </c>
      <c r="E417" s="10" t="str">
        <f t="shared" si="14"/>
        <v>女</v>
      </c>
      <c r="F417" s="10"/>
    </row>
    <row r="418" spans="1:6" ht="34.5" customHeight="1">
      <c r="A418" s="9">
        <v>416</v>
      </c>
      <c r="B418" s="10" t="str">
        <f>"544920230708084809115789"</f>
        <v>544920230708084809115789</v>
      </c>
      <c r="C418" s="10" t="s">
        <v>7</v>
      </c>
      <c r="D418" s="10" t="str">
        <f>"邓婷婷"</f>
        <v>邓婷婷</v>
      </c>
      <c r="E418" s="10" t="str">
        <f t="shared" si="14"/>
        <v>女</v>
      </c>
      <c r="F418" s="10"/>
    </row>
    <row r="419" spans="1:6" ht="34.5" customHeight="1">
      <c r="A419" s="9">
        <v>417</v>
      </c>
      <c r="B419" s="10" t="str">
        <f>"544920230708090237115820"</f>
        <v>544920230708090237115820</v>
      </c>
      <c r="C419" s="10" t="s">
        <v>7</v>
      </c>
      <c r="D419" s="10" t="str">
        <f>"李优玉"</f>
        <v>李优玉</v>
      </c>
      <c r="E419" s="10" t="str">
        <f t="shared" si="14"/>
        <v>女</v>
      </c>
      <c r="F419" s="10"/>
    </row>
    <row r="420" spans="1:6" ht="34.5" customHeight="1">
      <c r="A420" s="9">
        <v>418</v>
      </c>
      <c r="B420" s="10" t="str">
        <f>"544920230708092343115894"</f>
        <v>544920230708092343115894</v>
      </c>
      <c r="C420" s="10" t="s">
        <v>7</v>
      </c>
      <c r="D420" s="10" t="str">
        <f>"林万"</f>
        <v>林万</v>
      </c>
      <c r="E420" s="10" t="str">
        <f t="shared" si="14"/>
        <v>女</v>
      </c>
      <c r="F420" s="10"/>
    </row>
    <row r="421" spans="1:6" ht="34.5" customHeight="1">
      <c r="A421" s="9">
        <v>419</v>
      </c>
      <c r="B421" s="10" t="str">
        <f>"544920230708105619116191"</f>
        <v>544920230708105619116191</v>
      </c>
      <c r="C421" s="10" t="s">
        <v>7</v>
      </c>
      <c r="D421" s="10" t="str">
        <f>"祝可欣"</f>
        <v>祝可欣</v>
      </c>
      <c r="E421" s="10" t="str">
        <f t="shared" si="14"/>
        <v>女</v>
      </c>
      <c r="F421" s="10"/>
    </row>
    <row r="422" spans="1:6" ht="34.5" customHeight="1">
      <c r="A422" s="9">
        <v>420</v>
      </c>
      <c r="B422" s="10" t="str">
        <f>"544920230708104544116153"</f>
        <v>544920230708104544116153</v>
      </c>
      <c r="C422" s="10" t="s">
        <v>7</v>
      </c>
      <c r="D422" s="10" t="str">
        <f>"黄竹音"</f>
        <v>黄竹音</v>
      </c>
      <c r="E422" s="10" t="str">
        <f t="shared" si="14"/>
        <v>女</v>
      </c>
      <c r="F422" s="10"/>
    </row>
    <row r="423" spans="1:6" ht="34.5" customHeight="1">
      <c r="A423" s="9">
        <v>421</v>
      </c>
      <c r="B423" s="10" t="str">
        <f>"544920230708103721116115"</f>
        <v>544920230708103721116115</v>
      </c>
      <c r="C423" s="10" t="s">
        <v>7</v>
      </c>
      <c r="D423" s="10" t="str">
        <f>"陈焕保"</f>
        <v>陈焕保</v>
      </c>
      <c r="E423" s="10" t="str">
        <f t="shared" si="14"/>
        <v>女</v>
      </c>
      <c r="F423" s="10"/>
    </row>
    <row r="424" spans="1:6" ht="34.5" customHeight="1">
      <c r="A424" s="9">
        <v>422</v>
      </c>
      <c r="B424" s="10" t="str">
        <f>"544920230707004822111477"</f>
        <v>544920230707004822111477</v>
      </c>
      <c r="C424" s="10" t="s">
        <v>7</v>
      </c>
      <c r="D424" s="10" t="str">
        <f>"王瑶瑶"</f>
        <v>王瑶瑶</v>
      </c>
      <c r="E424" s="10" t="str">
        <f t="shared" si="14"/>
        <v>女</v>
      </c>
      <c r="F424" s="10"/>
    </row>
    <row r="425" spans="1:6" ht="34.5" customHeight="1">
      <c r="A425" s="9">
        <v>423</v>
      </c>
      <c r="B425" s="10" t="str">
        <f>"544920230708120320116412"</f>
        <v>544920230708120320116412</v>
      </c>
      <c r="C425" s="10" t="s">
        <v>7</v>
      </c>
      <c r="D425" s="10" t="str">
        <f>"陈皖"</f>
        <v>陈皖</v>
      </c>
      <c r="E425" s="10" t="str">
        <f t="shared" si="14"/>
        <v>女</v>
      </c>
      <c r="F425" s="10"/>
    </row>
    <row r="426" spans="1:6" ht="34.5" customHeight="1">
      <c r="A426" s="9">
        <v>424</v>
      </c>
      <c r="B426" s="10" t="str">
        <f>"544920230708123524116522"</f>
        <v>544920230708123524116522</v>
      </c>
      <c r="C426" s="10" t="s">
        <v>7</v>
      </c>
      <c r="D426" s="10" t="str">
        <f>"夏鑫"</f>
        <v>夏鑫</v>
      </c>
      <c r="E426" s="10" t="str">
        <f t="shared" si="14"/>
        <v>女</v>
      </c>
      <c r="F426" s="10"/>
    </row>
    <row r="427" spans="1:6" ht="34.5" customHeight="1">
      <c r="A427" s="9">
        <v>425</v>
      </c>
      <c r="B427" s="10" t="str">
        <f>"544920230708141958116908"</f>
        <v>544920230708141958116908</v>
      </c>
      <c r="C427" s="10" t="s">
        <v>7</v>
      </c>
      <c r="D427" s="10" t="str">
        <f>"刘小冰"</f>
        <v>刘小冰</v>
      </c>
      <c r="E427" s="10" t="str">
        <f t="shared" si="14"/>
        <v>女</v>
      </c>
      <c r="F427" s="10"/>
    </row>
    <row r="428" spans="1:6" ht="34.5" customHeight="1">
      <c r="A428" s="9">
        <v>426</v>
      </c>
      <c r="B428" s="10" t="str">
        <f>"544920230707172554114365"</f>
        <v>544920230707172554114365</v>
      </c>
      <c r="C428" s="10" t="s">
        <v>7</v>
      </c>
      <c r="D428" s="10" t="str">
        <f>"邓海艳"</f>
        <v>邓海艳</v>
      </c>
      <c r="E428" s="10" t="str">
        <f t="shared" si="14"/>
        <v>女</v>
      </c>
      <c r="F428" s="10"/>
    </row>
    <row r="429" spans="1:6" ht="34.5" customHeight="1">
      <c r="A429" s="9">
        <v>427</v>
      </c>
      <c r="B429" s="10" t="str">
        <f>"544920230708145903117051"</f>
        <v>544920230708145903117051</v>
      </c>
      <c r="C429" s="10" t="s">
        <v>7</v>
      </c>
      <c r="D429" s="10" t="str">
        <f>"张玉卓"</f>
        <v>张玉卓</v>
      </c>
      <c r="E429" s="10" t="str">
        <f t="shared" si="14"/>
        <v>女</v>
      </c>
      <c r="F429" s="10"/>
    </row>
    <row r="430" spans="1:6" ht="34.5" customHeight="1">
      <c r="A430" s="9">
        <v>428</v>
      </c>
      <c r="B430" s="10" t="str">
        <f>"544920230708154431117259"</f>
        <v>544920230708154431117259</v>
      </c>
      <c r="C430" s="10" t="s">
        <v>7</v>
      </c>
      <c r="D430" s="10" t="str">
        <f>"黄娴雅"</f>
        <v>黄娴雅</v>
      </c>
      <c r="E430" s="10" t="str">
        <f t="shared" si="14"/>
        <v>女</v>
      </c>
      <c r="F430" s="10"/>
    </row>
    <row r="431" spans="1:6" ht="34.5" customHeight="1">
      <c r="A431" s="9">
        <v>429</v>
      </c>
      <c r="B431" s="10" t="str">
        <f>"544920230708160347117353"</f>
        <v>544920230708160347117353</v>
      </c>
      <c r="C431" s="10" t="s">
        <v>7</v>
      </c>
      <c r="D431" s="10" t="str">
        <f>"苏高妹"</f>
        <v>苏高妹</v>
      </c>
      <c r="E431" s="10" t="str">
        <f t="shared" si="14"/>
        <v>女</v>
      </c>
      <c r="F431" s="10"/>
    </row>
    <row r="432" spans="1:6" ht="34.5" customHeight="1">
      <c r="A432" s="9">
        <v>430</v>
      </c>
      <c r="B432" s="10" t="str">
        <f>"544920230707222815115302"</f>
        <v>544920230707222815115302</v>
      </c>
      <c r="C432" s="10" t="s">
        <v>7</v>
      </c>
      <c r="D432" s="10" t="str">
        <f>"陈海莹"</f>
        <v>陈海莹</v>
      </c>
      <c r="E432" s="10" t="str">
        <f t="shared" si="14"/>
        <v>女</v>
      </c>
      <c r="F432" s="10"/>
    </row>
    <row r="433" spans="1:6" ht="34.5" customHeight="1">
      <c r="A433" s="9">
        <v>431</v>
      </c>
      <c r="B433" s="10" t="str">
        <f>"544920230708161458117388"</f>
        <v>544920230708161458117388</v>
      </c>
      <c r="C433" s="10" t="s">
        <v>7</v>
      </c>
      <c r="D433" s="10" t="str">
        <f>"王康蜜"</f>
        <v>王康蜜</v>
      </c>
      <c r="E433" s="10" t="str">
        <f t="shared" si="14"/>
        <v>女</v>
      </c>
      <c r="F433" s="10"/>
    </row>
    <row r="434" spans="1:6" ht="34.5" customHeight="1">
      <c r="A434" s="9">
        <v>432</v>
      </c>
      <c r="B434" s="10" t="str">
        <f>"544920230708161000117366"</f>
        <v>544920230708161000117366</v>
      </c>
      <c r="C434" s="10" t="s">
        <v>7</v>
      </c>
      <c r="D434" s="10" t="str">
        <f>"李金凌"</f>
        <v>李金凌</v>
      </c>
      <c r="E434" s="10" t="str">
        <f t="shared" si="14"/>
        <v>女</v>
      </c>
      <c r="F434" s="10"/>
    </row>
    <row r="435" spans="1:6" ht="34.5" customHeight="1">
      <c r="A435" s="9">
        <v>433</v>
      </c>
      <c r="B435" s="10" t="str">
        <f>"544920230708164322117495"</f>
        <v>544920230708164322117495</v>
      </c>
      <c r="C435" s="10" t="s">
        <v>7</v>
      </c>
      <c r="D435" s="10" t="str">
        <f>"苏晓燕"</f>
        <v>苏晓燕</v>
      </c>
      <c r="E435" s="10" t="str">
        <f t="shared" si="14"/>
        <v>女</v>
      </c>
      <c r="F435" s="10"/>
    </row>
    <row r="436" spans="1:6" ht="34.5" customHeight="1">
      <c r="A436" s="9">
        <v>434</v>
      </c>
      <c r="B436" s="10" t="str">
        <f>"544920230708165216117527"</f>
        <v>544920230708165216117527</v>
      </c>
      <c r="C436" s="10" t="s">
        <v>7</v>
      </c>
      <c r="D436" s="10" t="str">
        <f>"邱名玉"</f>
        <v>邱名玉</v>
      </c>
      <c r="E436" s="10" t="str">
        <f t="shared" si="14"/>
        <v>女</v>
      </c>
      <c r="F436" s="10"/>
    </row>
    <row r="437" spans="1:6" ht="34.5" customHeight="1">
      <c r="A437" s="9">
        <v>435</v>
      </c>
      <c r="B437" s="10" t="str">
        <f>"544920230708171022117561"</f>
        <v>544920230708171022117561</v>
      </c>
      <c r="C437" s="10" t="s">
        <v>7</v>
      </c>
      <c r="D437" s="10" t="str">
        <f>"吴灵"</f>
        <v>吴灵</v>
      </c>
      <c r="E437" s="10" t="str">
        <f t="shared" si="14"/>
        <v>女</v>
      </c>
      <c r="F437" s="10"/>
    </row>
    <row r="438" spans="1:6" ht="34.5" customHeight="1">
      <c r="A438" s="9">
        <v>436</v>
      </c>
      <c r="B438" s="10" t="str">
        <f>"544920230708175856117602"</f>
        <v>544920230708175856117602</v>
      </c>
      <c r="C438" s="10" t="s">
        <v>7</v>
      </c>
      <c r="D438" s="10" t="str">
        <f>"黎雅欣"</f>
        <v>黎雅欣</v>
      </c>
      <c r="E438" s="10" t="str">
        <f t="shared" si="14"/>
        <v>女</v>
      </c>
      <c r="F438" s="10"/>
    </row>
    <row r="439" spans="1:6" ht="34.5" customHeight="1">
      <c r="A439" s="9">
        <v>437</v>
      </c>
      <c r="B439" s="10" t="str">
        <f>"544920230708174936117597"</f>
        <v>544920230708174936117597</v>
      </c>
      <c r="C439" s="10" t="s">
        <v>7</v>
      </c>
      <c r="D439" s="10" t="str">
        <f>"陈珈君"</f>
        <v>陈珈君</v>
      </c>
      <c r="E439" s="10" t="str">
        <f t="shared" si="14"/>
        <v>女</v>
      </c>
      <c r="F439" s="10"/>
    </row>
    <row r="440" spans="1:6" ht="34.5" customHeight="1">
      <c r="A440" s="9">
        <v>438</v>
      </c>
      <c r="B440" s="10" t="str">
        <f>"544920230708175734117600"</f>
        <v>544920230708175734117600</v>
      </c>
      <c r="C440" s="10" t="s">
        <v>7</v>
      </c>
      <c r="D440" s="10" t="str">
        <f>"王和欣"</f>
        <v>王和欣</v>
      </c>
      <c r="E440" s="10" t="str">
        <f t="shared" si="14"/>
        <v>女</v>
      </c>
      <c r="F440" s="10"/>
    </row>
    <row r="441" spans="1:6" ht="34.5" customHeight="1">
      <c r="A441" s="9">
        <v>439</v>
      </c>
      <c r="B441" s="10" t="str">
        <f>"544920230707223829115343"</f>
        <v>544920230707223829115343</v>
      </c>
      <c r="C441" s="10" t="s">
        <v>7</v>
      </c>
      <c r="D441" s="10" t="str">
        <f>"李祥梦"</f>
        <v>李祥梦</v>
      </c>
      <c r="E441" s="10" t="str">
        <f t="shared" si="14"/>
        <v>女</v>
      </c>
      <c r="F441" s="10"/>
    </row>
    <row r="442" spans="1:6" ht="34.5" customHeight="1">
      <c r="A442" s="9">
        <v>440</v>
      </c>
      <c r="B442" s="10" t="str">
        <f>"544920230708193554117666"</f>
        <v>544920230708193554117666</v>
      </c>
      <c r="C442" s="10" t="s">
        <v>7</v>
      </c>
      <c r="D442" s="10" t="str">
        <f>"黎俊希"</f>
        <v>黎俊希</v>
      </c>
      <c r="E442" s="10" t="str">
        <f t="shared" si="14"/>
        <v>女</v>
      </c>
      <c r="F442" s="10"/>
    </row>
    <row r="443" spans="1:6" ht="34.5" customHeight="1">
      <c r="A443" s="9">
        <v>441</v>
      </c>
      <c r="B443" s="10" t="str">
        <f>"544920230708155128117295"</f>
        <v>544920230708155128117295</v>
      </c>
      <c r="C443" s="10" t="s">
        <v>7</v>
      </c>
      <c r="D443" s="10" t="str">
        <f>"张丽薇"</f>
        <v>张丽薇</v>
      </c>
      <c r="E443" s="10" t="str">
        <f t="shared" si="14"/>
        <v>女</v>
      </c>
      <c r="F443" s="10"/>
    </row>
    <row r="444" spans="1:6" ht="34.5" customHeight="1">
      <c r="A444" s="9">
        <v>442</v>
      </c>
      <c r="B444" s="10" t="str">
        <f>"544920230706195504110565"</f>
        <v>544920230706195504110565</v>
      </c>
      <c r="C444" s="10" t="s">
        <v>7</v>
      </c>
      <c r="D444" s="10" t="str">
        <f>"陈梅平"</f>
        <v>陈梅平</v>
      </c>
      <c r="E444" s="10" t="str">
        <f t="shared" si="14"/>
        <v>女</v>
      </c>
      <c r="F444" s="10"/>
    </row>
    <row r="445" spans="1:6" ht="34.5" customHeight="1">
      <c r="A445" s="9">
        <v>443</v>
      </c>
      <c r="B445" s="10" t="str">
        <f>"544920230708211501117745"</f>
        <v>544920230708211501117745</v>
      </c>
      <c r="C445" s="10" t="s">
        <v>7</v>
      </c>
      <c r="D445" s="10" t="str">
        <f>"叶夏雅"</f>
        <v>叶夏雅</v>
      </c>
      <c r="E445" s="10" t="str">
        <f t="shared" si="14"/>
        <v>女</v>
      </c>
      <c r="F445" s="10"/>
    </row>
    <row r="446" spans="1:6" ht="34.5" customHeight="1">
      <c r="A446" s="9">
        <v>444</v>
      </c>
      <c r="B446" s="10" t="str">
        <f>"544920230708220100117788"</f>
        <v>544920230708220100117788</v>
      </c>
      <c r="C446" s="10" t="s">
        <v>7</v>
      </c>
      <c r="D446" s="10" t="str">
        <f>"孙婉菲"</f>
        <v>孙婉菲</v>
      </c>
      <c r="E446" s="10" t="str">
        <f t="shared" si="14"/>
        <v>女</v>
      </c>
      <c r="F446" s="10"/>
    </row>
    <row r="447" spans="1:6" ht="34.5" customHeight="1">
      <c r="A447" s="9">
        <v>445</v>
      </c>
      <c r="B447" s="10" t="str">
        <f>"544920230708215646117785"</f>
        <v>544920230708215646117785</v>
      </c>
      <c r="C447" s="10" t="s">
        <v>7</v>
      </c>
      <c r="D447" s="10" t="str">
        <f>"王晓"</f>
        <v>王晓</v>
      </c>
      <c r="E447" s="10" t="str">
        <f t="shared" si="14"/>
        <v>女</v>
      </c>
      <c r="F447" s="10"/>
    </row>
    <row r="448" spans="1:6" ht="34.5" customHeight="1">
      <c r="A448" s="9">
        <v>446</v>
      </c>
      <c r="B448" s="10" t="str">
        <f>"544920230708220329117791"</f>
        <v>544920230708220329117791</v>
      </c>
      <c r="C448" s="10" t="s">
        <v>7</v>
      </c>
      <c r="D448" s="10" t="str">
        <f>"吕婷婷"</f>
        <v>吕婷婷</v>
      </c>
      <c r="E448" s="10" t="str">
        <f t="shared" si="14"/>
        <v>女</v>
      </c>
      <c r="F448" s="10"/>
    </row>
    <row r="449" spans="1:6" ht="34.5" customHeight="1">
      <c r="A449" s="9">
        <v>447</v>
      </c>
      <c r="B449" s="10" t="str">
        <f>"544920230708080252115718"</f>
        <v>544920230708080252115718</v>
      </c>
      <c r="C449" s="10" t="s">
        <v>7</v>
      </c>
      <c r="D449" s="10" t="str">
        <f>"林秦伊"</f>
        <v>林秦伊</v>
      </c>
      <c r="E449" s="10" t="str">
        <f t="shared" si="14"/>
        <v>女</v>
      </c>
      <c r="F449" s="10"/>
    </row>
    <row r="450" spans="1:6" ht="34.5" customHeight="1">
      <c r="A450" s="9">
        <v>448</v>
      </c>
      <c r="B450" s="10" t="str">
        <f>"544920230708231849117856"</f>
        <v>544920230708231849117856</v>
      </c>
      <c r="C450" s="10" t="s">
        <v>7</v>
      </c>
      <c r="D450" s="10" t="str">
        <f>"卓菁菁"</f>
        <v>卓菁菁</v>
      </c>
      <c r="E450" s="10" t="str">
        <f t="shared" si="14"/>
        <v>女</v>
      </c>
      <c r="F450" s="10"/>
    </row>
    <row r="451" spans="1:6" ht="34.5" customHeight="1">
      <c r="A451" s="9">
        <v>449</v>
      </c>
      <c r="B451" s="10" t="str">
        <f>"544920230708234154117870"</f>
        <v>544920230708234154117870</v>
      </c>
      <c r="C451" s="10" t="s">
        <v>7</v>
      </c>
      <c r="D451" s="10" t="str">
        <f>"李仪"</f>
        <v>李仪</v>
      </c>
      <c r="E451" s="10" t="str">
        <f t="shared" si="14"/>
        <v>女</v>
      </c>
      <c r="F451" s="10"/>
    </row>
    <row r="452" spans="1:6" ht="34.5" customHeight="1">
      <c r="A452" s="9">
        <v>450</v>
      </c>
      <c r="B452" s="10" t="str">
        <f>"544920230709003142117888"</f>
        <v>544920230709003142117888</v>
      </c>
      <c r="C452" s="10" t="s">
        <v>7</v>
      </c>
      <c r="D452" s="10" t="str">
        <f>"陈颖"</f>
        <v>陈颖</v>
      </c>
      <c r="E452" s="10" t="str">
        <f t="shared" si="14"/>
        <v>女</v>
      </c>
      <c r="F452" s="10"/>
    </row>
    <row r="453" spans="1:6" ht="34.5" customHeight="1">
      <c r="A453" s="9">
        <v>451</v>
      </c>
      <c r="B453" s="10" t="str">
        <f>"544920230704163957102372"</f>
        <v>544920230704163957102372</v>
      </c>
      <c r="C453" s="10" t="s">
        <v>7</v>
      </c>
      <c r="D453" s="10" t="str">
        <f>"文芳玲"</f>
        <v>文芳玲</v>
      </c>
      <c r="E453" s="10" t="str">
        <f t="shared" si="14"/>
        <v>女</v>
      </c>
      <c r="F453" s="10"/>
    </row>
    <row r="454" spans="1:6" ht="34.5" customHeight="1">
      <c r="A454" s="9">
        <v>452</v>
      </c>
      <c r="B454" s="10" t="str">
        <f>"544920230709082039117920"</f>
        <v>544920230709082039117920</v>
      </c>
      <c r="C454" s="10" t="s">
        <v>7</v>
      </c>
      <c r="D454" s="10" t="str">
        <f>"符兰妍"</f>
        <v>符兰妍</v>
      </c>
      <c r="E454" s="10" t="str">
        <f t="shared" si="14"/>
        <v>女</v>
      </c>
      <c r="F454" s="10"/>
    </row>
    <row r="455" spans="1:6" ht="34.5" customHeight="1">
      <c r="A455" s="9">
        <v>453</v>
      </c>
      <c r="B455" s="10" t="str">
        <f>"544920230709092948117941"</f>
        <v>544920230709092948117941</v>
      </c>
      <c r="C455" s="10" t="s">
        <v>7</v>
      </c>
      <c r="D455" s="10" t="str">
        <f>"林梅"</f>
        <v>林梅</v>
      </c>
      <c r="E455" s="10" t="str">
        <f aca="true" t="shared" si="15" ref="E455:E460">"女"</f>
        <v>女</v>
      </c>
      <c r="F455" s="10"/>
    </row>
    <row r="456" spans="1:6" ht="34.5" customHeight="1">
      <c r="A456" s="9">
        <v>454</v>
      </c>
      <c r="B456" s="10" t="str">
        <f>"544920230709112249118024"</f>
        <v>544920230709112249118024</v>
      </c>
      <c r="C456" s="10" t="s">
        <v>7</v>
      </c>
      <c r="D456" s="10" t="str">
        <f>"胡想越"</f>
        <v>胡想越</v>
      </c>
      <c r="E456" s="10" t="str">
        <f t="shared" si="15"/>
        <v>女</v>
      </c>
      <c r="F456" s="10"/>
    </row>
    <row r="457" spans="1:6" ht="34.5" customHeight="1">
      <c r="A457" s="9">
        <v>455</v>
      </c>
      <c r="B457" s="10" t="str">
        <f>"544920230707190512114668"</f>
        <v>544920230707190512114668</v>
      </c>
      <c r="C457" s="10" t="s">
        <v>7</v>
      </c>
      <c r="D457" s="10" t="str">
        <f>"刘丽慧"</f>
        <v>刘丽慧</v>
      </c>
      <c r="E457" s="10" t="str">
        <f t="shared" si="15"/>
        <v>女</v>
      </c>
      <c r="F457" s="10"/>
    </row>
    <row r="458" spans="1:6" ht="34.5" customHeight="1">
      <c r="A458" s="9">
        <v>456</v>
      </c>
      <c r="B458" s="10" t="str">
        <f>"544920230709092953117942"</f>
        <v>544920230709092953117942</v>
      </c>
      <c r="C458" s="10" t="s">
        <v>7</v>
      </c>
      <c r="D458" s="10" t="str">
        <f>"陶珺"</f>
        <v>陶珺</v>
      </c>
      <c r="E458" s="10" t="str">
        <f t="shared" si="15"/>
        <v>女</v>
      </c>
      <c r="F458" s="10"/>
    </row>
    <row r="459" spans="1:6" ht="34.5" customHeight="1">
      <c r="A459" s="9">
        <v>457</v>
      </c>
      <c r="B459" s="10" t="str">
        <f>"544920230709120154118047"</f>
        <v>544920230709120154118047</v>
      </c>
      <c r="C459" s="10" t="s">
        <v>7</v>
      </c>
      <c r="D459" s="10" t="str">
        <f>"张伟琦"</f>
        <v>张伟琦</v>
      </c>
      <c r="E459" s="10" t="str">
        <f t="shared" si="15"/>
        <v>女</v>
      </c>
      <c r="F459" s="10"/>
    </row>
    <row r="460" spans="1:6" ht="34.5" customHeight="1">
      <c r="A460" s="9">
        <v>458</v>
      </c>
      <c r="B460" s="10" t="str">
        <f>"544920230709120408118049"</f>
        <v>544920230709120408118049</v>
      </c>
      <c r="C460" s="10" t="s">
        <v>7</v>
      </c>
      <c r="D460" s="10" t="str">
        <f>"陈楚甯"</f>
        <v>陈楚甯</v>
      </c>
      <c r="E460" s="10" t="str">
        <f t="shared" si="15"/>
        <v>女</v>
      </c>
      <c r="F460" s="10"/>
    </row>
    <row r="461" spans="1:6" ht="34.5" customHeight="1">
      <c r="A461" s="9">
        <v>459</v>
      </c>
      <c r="B461" s="10" t="str">
        <f>"544920230709135049118106"</f>
        <v>544920230709135049118106</v>
      </c>
      <c r="C461" s="10" t="s">
        <v>7</v>
      </c>
      <c r="D461" s="10" t="str">
        <f>"梁其尧"</f>
        <v>梁其尧</v>
      </c>
      <c r="E461" s="10" t="str">
        <f>"男"</f>
        <v>男</v>
      </c>
      <c r="F461" s="10"/>
    </row>
    <row r="462" spans="1:6" ht="34.5" customHeight="1">
      <c r="A462" s="9">
        <v>460</v>
      </c>
      <c r="B462" s="10" t="str">
        <f>"544920230708154352117254"</f>
        <v>544920230708154352117254</v>
      </c>
      <c r="C462" s="10" t="s">
        <v>7</v>
      </c>
      <c r="D462" s="10" t="str">
        <f>"魏霞霞"</f>
        <v>魏霞霞</v>
      </c>
      <c r="E462" s="10" t="str">
        <f aca="true" t="shared" si="16" ref="E462:E469">"女"</f>
        <v>女</v>
      </c>
      <c r="F462" s="10"/>
    </row>
    <row r="463" spans="1:6" ht="34.5" customHeight="1">
      <c r="A463" s="9">
        <v>461</v>
      </c>
      <c r="B463" s="10" t="str">
        <f>"544920230708144659117003"</f>
        <v>544920230708144659117003</v>
      </c>
      <c r="C463" s="10" t="s">
        <v>7</v>
      </c>
      <c r="D463" s="10" t="str">
        <f>"李金师"</f>
        <v>李金师</v>
      </c>
      <c r="E463" s="10" t="str">
        <f t="shared" si="16"/>
        <v>女</v>
      </c>
      <c r="F463" s="10"/>
    </row>
    <row r="464" spans="1:6" ht="34.5" customHeight="1">
      <c r="A464" s="9">
        <v>462</v>
      </c>
      <c r="B464" s="10" t="str">
        <f>"544920230709144200118134"</f>
        <v>544920230709144200118134</v>
      </c>
      <c r="C464" s="10" t="s">
        <v>7</v>
      </c>
      <c r="D464" s="10" t="str">
        <f>"黎思诗"</f>
        <v>黎思诗</v>
      </c>
      <c r="E464" s="10" t="str">
        <f t="shared" si="16"/>
        <v>女</v>
      </c>
      <c r="F464" s="10"/>
    </row>
    <row r="465" spans="1:6" ht="34.5" customHeight="1">
      <c r="A465" s="9">
        <v>463</v>
      </c>
      <c r="B465" s="10" t="str">
        <f>"544920230709155956118182"</f>
        <v>544920230709155956118182</v>
      </c>
      <c r="C465" s="10" t="s">
        <v>7</v>
      </c>
      <c r="D465" s="10" t="str">
        <f>"李竹"</f>
        <v>李竹</v>
      </c>
      <c r="E465" s="10" t="str">
        <f t="shared" si="16"/>
        <v>女</v>
      </c>
      <c r="F465" s="10"/>
    </row>
    <row r="466" spans="1:6" ht="34.5" customHeight="1">
      <c r="A466" s="9">
        <v>464</v>
      </c>
      <c r="B466" s="10" t="str">
        <f>"544920230709155302118174"</f>
        <v>544920230709155302118174</v>
      </c>
      <c r="C466" s="10" t="s">
        <v>7</v>
      </c>
      <c r="D466" s="10" t="str">
        <f>"黄小静"</f>
        <v>黄小静</v>
      </c>
      <c r="E466" s="10" t="str">
        <f t="shared" si="16"/>
        <v>女</v>
      </c>
      <c r="F466" s="10"/>
    </row>
    <row r="467" spans="1:6" ht="34.5" customHeight="1">
      <c r="A467" s="9">
        <v>465</v>
      </c>
      <c r="B467" s="10" t="str">
        <f>"544920230706211509110905"</f>
        <v>544920230706211509110905</v>
      </c>
      <c r="C467" s="10" t="s">
        <v>7</v>
      </c>
      <c r="D467" s="10" t="str">
        <f>"李媛"</f>
        <v>李媛</v>
      </c>
      <c r="E467" s="10" t="str">
        <f t="shared" si="16"/>
        <v>女</v>
      </c>
      <c r="F467" s="10"/>
    </row>
    <row r="468" spans="1:6" ht="34.5" customHeight="1">
      <c r="A468" s="9">
        <v>466</v>
      </c>
      <c r="B468" s="10" t="str">
        <f>"544920230709170506118237"</f>
        <v>544920230709170506118237</v>
      </c>
      <c r="C468" s="10" t="s">
        <v>7</v>
      </c>
      <c r="D468" s="10" t="str">
        <f>"邬沛含"</f>
        <v>邬沛含</v>
      </c>
      <c r="E468" s="10" t="str">
        <f t="shared" si="16"/>
        <v>女</v>
      </c>
      <c r="F468" s="10"/>
    </row>
    <row r="469" spans="1:6" ht="34.5" customHeight="1">
      <c r="A469" s="9">
        <v>467</v>
      </c>
      <c r="B469" s="10" t="str">
        <f>"54492023070317072898565"</f>
        <v>54492023070317072898565</v>
      </c>
      <c r="C469" s="10" t="s">
        <v>7</v>
      </c>
      <c r="D469" s="10" t="str">
        <f>"苏秋同"</f>
        <v>苏秋同</v>
      </c>
      <c r="E469" s="10" t="str">
        <f t="shared" si="16"/>
        <v>女</v>
      </c>
      <c r="F469" s="10"/>
    </row>
    <row r="470" spans="1:6" ht="34.5" customHeight="1">
      <c r="A470" s="9">
        <v>468</v>
      </c>
      <c r="B470" s="10" t="str">
        <f>"544920230709163431118210"</f>
        <v>544920230709163431118210</v>
      </c>
      <c r="C470" s="10" t="s">
        <v>7</v>
      </c>
      <c r="D470" s="10" t="str">
        <f>"罗丁正"</f>
        <v>罗丁正</v>
      </c>
      <c r="E470" s="10" t="str">
        <f>"男"</f>
        <v>男</v>
      </c>
      <c r="F470" s="10"/>
    </row>
    <row r="471" spans="1:6" ht="34.5" customHeight="1">
      <c r="A471" s="9">
        <v>469</v>
      </c>
      <c r="B471" s="10" t="str">
        <f>"544920230709182240118287"</f>
        <v>544920230709182240118287</v>
      </c>
      <c r="C471" s="10" t="s">
        <v>7</v>
      </c>
      <c r="D471" s="10" t="str">
        <f>"张玉玲"</f>
        <v>张玉玲</v>
      </c>
      <c r="E471" s="10" t="str">
        <f aca="true" t="shared" si="17" ref="E471:E514">"女"</f>
        <v>女</v>
      </c>
      <c r="F471" s="10"/>
    </row>
    <row r="472" spans="1:6" ht="34.5" customHeight="1">
      <c r="A472" s="9">
        <v>470</v>
      </c>
      <c r="B472" s="10" t="str">
        <f>"544920230709185001118305"</f>
        <v>544920230709185001118305</v>
      </c>
      <c r="C472" s="10" t="s">
        <v>7</v>
      </c>
      <c r="D472" s="10" t="str">
        <f>"陈晶莹"</f>
        <v>陈晶莹</v>
      </c>
      <c r="E472" s="10" t="str">
        <f t="shared" si="17"/>
        <v>女</v>
      </c>
      <c r="F472" s="10"/>
    </row>
    <row r="473" spans="1:6" ht="34.5" customHeight="1">
      <c r="A473" s="9">
        <v>471</v>
      </c>
      <c r="B473" s="10" t="str">
        <f>"544920230704084057100631"</f>
        <v>544920230704084057100631</v>
      </c>
      <c r="C473" s="10" t="s">
        <v>7</v>
      </c>
      <c r="D473" s="10" t="str">
        <f>"李佳桐"</f>
        <v>李佳桐</v>
      </c>
      <c r="E473" s="10" t="str">
        <f t="shared" si="17"/>
        <v>女</v>
      </c>
      <c r="F473" s="10"/>
    </row>
    <row r="474" spans="1:6" ht="34.5" customHeight="1">
      <c r="A474" s="9">
        <v>472</v>
      </c>
      <c r="B474" s="10" t="str">
        <f>"544920230709210729118407"</f>
        <v>544920230709210729118407</v>
      </c>
      <c r="C474" s="10" t="s">
        <v>7</v>
      </c>
      <c r="D474" s="10" t="str">
        <f>"林小丽"</f>
        <v>林小丽</v>
      </c>
      <c r="E474" s="10" t="str">
        <f t="shared" si="17"/>
        <v>女</v>
      </c>
      <c r="F474" s="10"/>
    </row>
    <row r="475" spans="1:6" ht="34.5" customHeight="1">
      <c r="A475" s="9">
        <v>473</v>
      </c>
      <c r="B475" s="10" t="str">
        <f>"544920230709211537118419"</f>
        <v>544920230709211537118419</v>
      </c>
      <c r="C475" s="10" t="s">
        <v>7</v>
      </c>
      <c r="D475" s="10" t="str">
        <f>"孔思"</f>
        <v>孔思</v>
      </c>
      <c r="E475" s="10" t="str">
        <f t="shared" si="17"/>
        <v>女</v>
      </c>
      <c r="F475" s="10"/>
    </row>
    <row r="476" spans="1:6" ht="34.5" customHeight="1">
      <c r="A476" s="9">
        <v>474</v>
      </c>
      <c r="B476" s="10" t="str">
        <f>"544920230709210826118409"</f>
        <v>544920230709210826118409</v>
      </c>
      <c r="C476" s="10" t="s">
        <v>7</v>
      </c>
      <c r="D476" s="10" t="str">
        <f>"林婉妃"</f>
        <v>林婉妃</v>
      </c>
      <c r="E476" s="10" t="str">
        <f t="shared" si="17"/>
        <v>女</v>
      </c>
      <c r="F476" s="10"/>
    </row>
    <row r="477" spans="1:6" ht="34.5" customHeight="1">
      <c r="A477" s="9">
        <v>475</v>
      </c>
      <c r="B477" s="10" t="str">
        <f>"544920230709211522118418"</f>
        <v>544920230709211522118418</v>
      </c>
      <c r="C477" s="10" t="s">
        <v>7</v>
      </c>
      <c r="D477" s="10" t="str">
        <f>"施雯"</f>
        <v>施雯</v>
      </c>
      <c r="E477" s="10" t="str">
        <f t="shared" si="17"/>
        <v>女</v>
      </c>
      <c r="F477" s="10"/>
    </row>
    <row r="478" spans="1:6" ht="34.5" customHeight="1">
      <c r="A478" s="9">
        <v>476</v>
      </c>
      <c r="B478" s="10" t="str">
        <f>"544920230709205123118392"</f>
        <v>544920230709205123118392</v>
      </c>
      <c r="C478" s="10" t="s">
        <v>7</v>
      </c>
      <c r="D478" s="10" t="str">
        <f>"覃开蕾"</f>
        <v>覃开蕾</v>
      </c>
      <c r="E478" s="10" t="str">
        <f t="shared" si="17"/>
        <v>女</v>
      </c>
      <c r="F478" s="10"/>
    </row>
    <row r="479" spans="1:6" ht="34.5" customHeight="1">
      <c r="A479" s="9">
        <v>477</v>
      </c>
      <c r="B479" s="10" t="str">
        <f>"544920230709215819118458"</f>
        <v>544920230709215819118458</v>
      </c>
      <c r="C479" s="10" t="s">
        <v>7</v>
      </c>
      <c r="D479" s="10" t="str">
        <f>"张涵雅"</f>
        <v>张涵雅</v>
      </c>
      <c r="E479" s="10" t="str">
        <f t="shared" si="17"/>
        <v>女</v>
      </c>
      <c r="F479" s="10"/>
    </row>
    <row r="480" spans="1:6" ht="34.5" customHeight="1">
      <c r="A480" s="9">
        <v>478</v>
      </c>
      <c r="B480" s="10" t="str">
        <f>"544920230707224731115374"</f>
        <v>544920230707224731115374</v>
      </c>
      <c r="C480" s="10" t="s">
        <v>7</v>
      </c>
      <c r="D480" s="10" t="str">
        <f>"王心怡"</f>
        <v>王心怡</v>
      </c>
      <c r="E480" s="10" t="str">
        <f t="shared" si="17"/>
        <v>女</v>
      </c>
      <c r="F480" s="10"/>
    </row>
    <row r="481" spans="1:6" ht="34.5" customHeight="1">
      <c r="A481" s="9">
        <v>479</v>
      </c>
      <c r="B481" s="10" t="str">
        <f>"544920230709110124118009"</f>
        <v>544920230709110124118009</v>
      </c>
      <c r="C481" s="10" t="s">
        <v>7</v>
      </c>
      <c r="D481" s="10" t="str">
        <f>"关梦丹"</f>
        <v>关梦丹</v>
      </c>
      <c r="E481" s="10" t="str">
        <f t="shared" si="17"/>
        <v>女</v>
      </c>
      <c r="F481" s="10"/>
    </row>
    <row r="482" spans="1:6" ht="34.5" customHeight="1">
      <c r="A482" s="9">
        <v>480</v>
      </c>
      <c r="B482" s="10" t="str">
        <f>"54492023070218275194349"</f>
        <v>54492023070218275194349</v>
      </c>
      <c r="C482" s="10" t="s">
        <v>7</v>
      </c>
      <c r="D482" s="10" t="str">
        <f>"王珊妹"</f>
        <v>王珊妹</v>
      </c>
      <c r="E482" s="10" t="str">
        <f t="shared" si="17"/>
        <v>女</v>
      </c>
      <c r="F482" s="10"/>
    </row>
    <row r="483" spans="1:6" ht="34.5" customHeight="1">
      <c r="A483" s="9">
        <v>481</v>
      </c>
      <c r="B483" s="10" t="str">
        <f>"54492023070321281799687"</f>
        <v>54492023070321281799687</v>
      </c>
      <c r="C483" s="10" t="s">
        <v>7</v>
      </c>
      <c r="D483" s="10" t="str">
        <f>"黄春颖"</f>
        <v>黄春颖</v>
      </c>
      <c r="E483" s="10" t="str">
        <f t="shared" si="17"/>
        <v>女</v>
      </c>
      <c r="F483" s="10"/>
    </row>
    <row r="484" spans="1:6" ht="34.5" customHeight="1">
      <c r="A484" s="9">
        <v>482</v>
      </c>
      <c r="B484" s="10" t="str">
        <f>"544920230709223945118501"</f>
        <v>544920230709223945118501</v>
      </c>
      <c r="C484" s="10" t="s">
        <v>7</v>
      </c>
      <c r="D484" s="10" t="str">
        <f>"刘诗雅"</f>
        <v>刘诗雅</v>
      </c>
      <c r="E484" s="10" t="str">
        <f t="shared" si="17"/>
        <v>女</v>
      </c>
      <c r="F484" s="10"/>
    </row>
    <row r="485" spans="1:6" ht="34.5" customHeight="1">
      <c r="A485" s="9">
        <v>483</v>
      </c>
      <c r="B485" s="10" t="str">
        <f>"544920230709225212118522"</f>
        <v>544920230709225212118522</v>
      </c>
      <c r="C485" s="10" t="s">
        <v>7</v>
      </c>
      <c r="D485" s="10" t="str">
        <f>"董思思"</f>
        <v>董思思</v>
      </c>
      <c r="E485" s="10" t="str">
        <f t="shared" si="17"/>
        <v>女</v>
      </c>
      <c r="F485" s="10"/>
    </row>
    <row r="486" spans="1:6" ht="34.5" customHeight="1">
      <c r="A486" s="9">
        <v>484</v>
      </c>
      <c r="B486" s="10" t="str">
        <f>"544920230709232432118551"</f>
        <v>544920230709232432118551</v>
      </c>
      <c r="C486" s="10" t="s">
        <v>7</v>
      </c>
      <c r="D486" s="10" t="str">
        <f>"覃春玉"</f>
        <v>覃春玉</v>
      </c>
      <c r="E486" s="10" t="str">
        <f t="shared" si="17"/>
        <v>女</v>
      </c>
      <c r="F486" s="10"/>
    </row>
    <row r="487" spans="1:6" ht="34.5" customHeight="1">
      <c r="A487" s="9">
        <v>485</v>
      </c>
      <c r="B487" s="10" t="str">
        <f>"544920230709224255118509"</f>
        <v>544920230709224255118509</v>
      </c>
      <c r="C487" s="10" t="s">
        <v>7</v>
      </c>
      <c r="D487" s="10" t="str">
        <f>"卢莹"</f>
        <v>卢莹</v>
      </c>
      <c r="E487" s="10" t="str">
        <f t="shared" si="17"/>
        <v>女</v>
      </c>
      <c r="F487" s="10"/>
    </row>
    <row r="488" spans="1:6" ht="34.5" customHeight="1">
      <c r="A488" s="9">
        <v>486</v>
      </c>
      <c r="B488" s="10" t="str">
        <f>"544920230709230647118535"</f>
        <v>544920230709230647118535</v>
      </c>
      <c r="C488" s="10" t="s">
        <v>7</v>
      </c>
      <c r="D488" s="10" t="str">
        <f>"师自星"</f>
        <v>师自星</v>
      </c>
      <c r="E488" s="10" t="str">
        <f t="shared" si="17"/>
        <v>女</v>
      </c>
      <c r="F488" s="10"/>
    </row>
    <row r="489" spans="1:6" ht="34.5" customHeight="1">
      <c r="A489" s="9">
        <v>487</v>
      </c>
      <c r="B489" s="10" t="str">
        <f>"544920230709215816118457"</f>
        <v>544920230709215816118457</v>
      </c>
      <c r="C489" s="10" t="s">
        <v>7</v>
      </c>
      <c r="D489" s="10" t="str">
        <f>"王引南"</f>
        <v>王引南</v>
      </c>
      <c r="E489" s="10" t="str">
        <f t="shared" si="17"/>
        <v>女</v>
      </c>
      <c r="F489" s="10"/>
    </row>
    <row r="490" spans="1:6" ht="34.5" customHeight="1">
      <c r="A490" s="9">
        <v>488</v>
      </c>
      <c r="B490" s="10" t="str">
        <f>"544920230709234336118565"</f>
        <v>544920230709234336118565</v>
      </c>
      <c r="C490" s="10" t="s">
        <v>7</v>
      </c>
      <c r="D490" s="10" t="str">
        <f>"杨新宁"</f>
        <v>杨新宁</v>
      </c>
      <c r="E490" s="10" t="str">
        <f t="shared" si="17"/>
        <v>女</v>
      </c>
      <c r="F490" s="10"/>
    </row>
    <row r="491" spans="1:6" ht="34.5" customHeight="1">
      <c r="A491" s="9">
        <v>489</v>
      </c>
      <c r="B491" s="10" t="str">
        <f>"544920230709235917118578"</f>
        <v>544920230709235917118578</v>
      </c>
      <c r="C491" s="10" t="s">
        <v>7</v>
      </c>
      <c r="D491" s="10" t="str">
        <f>"江萍"</f>
        <v>江萍</v>
      </c>
      <c r="E491" s="10" t="str">
        <f t="shared" si="17"/>
        <v>女</v>
      </c>
      <c r="F491" s="10"/>
    </row>
    <row r="492" spans="1:6" ht="34.5" customHeight="1">
      <c r="A492" s="9">
        <v>490</v>
      </c>
      <c r="B492" s="10" t="str">
        <f>"544920230709235016118573"</f>
        <v>544920230709235016118573</v>
      </c>
      <c r="C492" s="10" t="s">
        <v>7</v>
      </c>
      <c r="D492" s="10" t="str">
        <f>"单思维"</f>
        <v>单思维</v>
      </c>
      <c r="E492" s="10" t="str">
        <f t="shared" si="17"/>
        <v>女</v>
      </c>
      <c r="F492" s="10"/>
    </row>
    <row r="493" spans="1:6" ht="34.5" customHeight="1">
      <c r="A493" s="9">
        <v>491</v>
      </c>
      <c r="B493" s="10" t="str">
        <f>"544920230704200214102910"</f>
        <v>544920230704200214102910</v>
      </c>
      <c r="C493" s="10" t="s">
        <v>7</v>
      </c>
      <c r="D493" s="10" t="str">
        <f>"冯佳"</f>
        <v>冯佳</v>
      </c>
      <c r="E493" s="10" t="str">
        <f t="shared" si="17"/>
        <v>女</v>
      </c>
      <c r="F493" s="10"/>
    </row>
    <row r="494" spans="1:6" ht="34.5" customHeight="1">
      <c r="A494" s="9">
        <v>492</v>
      </c>
      <c r="B494" s="10" t="str">
        <f>"544920230710002035118593"</f>
        <v>544920230710002035118593</v>
      </c>
      <c r="C494" s="10" t="s">
        <v>7</v>
      </c>
      <c r="D494" s="10" t="str">
        <f>"江燕华"</f>
        <v>江燕华</v>
      </c>
      <c r="E494" s="10" t="str">
        <f t="shared" si="17"/>
        <v>女</v>
      </c>
      <c r="F494" s="10"/>
    </row>
    <row r="495" spans="1:6" ht="34.5" customHeight="1">
      <c r="A495" s="9">
        <v>493</v>
      </c>
      <c r="B495" s="10" t="str">
        <f>"544920230709235600118577"</f>
        <v>544920230709235600118577</v>
      </c>
      <c r="C495" s="10" t="s">
        <v>7</v>
      </c>
      <c r="D495" s="10" t="str">
        <f>"雷淑娟"</f>
        <v>雷淑娟</v>
      </c>
      <c r="E495" s="10" t="str">
        <f t="shared" si="17"/>
        <v>女</v>
      </c>
      <c r="F495" s="10"/>
    </row>
    <row r="496" spans="1:6" ht="34.5" customHeight="1">
      <c r="A496" s="9">
        <v>494</v>
      </c>
      <c r="B496" s="10" t="str">
        <f>"544920230709183345118294"</f>
        <v>544920230709183345118294</v>
      </c>
      <c r="C496" s="10" t="s">
        <v>7</v>
      </c>
      <c r="D496" s="10" t="str">
        <f>"符玉婷"</f>
        <v>符玉婷</v>
      </c>
      <c r="E496" s="10" t="str">
        <f t="shared" si="17"/>
        <v>女</v>
      </c>
      <c r="F496" s="10"/>
    </row>
    <row r="497" spans="1:6" ht="34.5" customHeight="1">
      <c r="A497" s="9">
        <v>495</v>
      </c>
      <c r="B497" s="10" t="str">
        <f>"544920230710004734118604"</f>
        <v>544920230710004734118604</v>
      </c>
      <c r="C497" s="10" t="s">
        <v>7</v>
      </c>
      <c r="D497" s="10" t="str">
        <f>"王丽金"</f>
        <v>王丽金</v>
      </c>
      <c r="E497" s="10" t="str">
        <f t="shared" si="17"/>
        <v>女</v>
      </c>
      <c r="F497" s="10"/>
    </row>
    <row r="498" spans="1:6" ht="34.5" customHeight="1">
      <c r="A498" s="9">
        <v>496</v>
      </c>
      <c r="B498" s="10" t="str">
        <f>"544920230710005839118608"</f>
        <v>544920230710005839118608</v>
      </c>
      <c r="C498" s="10" t="s">
        <v>7</v>
      </c>
      <c r="D498" s="10" t="str">
        <f>"胥林爽"</f>
        <v>胥林爽</v>
      </c>
      <c r="E498" s="10" t="str">
        <f t="shared" si="17"/>
        <v>女</v>
      </c>
      <c r="F498" s="10"/>
    </row>
    <row r="499" spans="1:6" ht="34.5" customHeight="1">
      <c r="A499" s="9">
        <v>497</v>
      </c>
      <c r="B499" s="10" t="str">
        <f>"544920230710010848118612"</f>
        <v>544920230710010848118612</v>
      </c>
      <c r="C499" s="10" t="s">
        <v>7</v>
      </c>
      <c r="D499" s="10" t="str">
        <f>"李波诗"</f>
        <v>李波诗</v>
      </c>
      <c r="E499" s="10" t="str">
        <f t="shared" si="17"/>
        <v>女</v>
      </c>
      <c r="F499" s="10"/>
    </row>
    <row r="500" spans="1:6" ht="34.5" customHeight="1">
      <c r="A500" s="9">
        <v>498</v>
      </c>
      <c r="B500" s="10" t="str">
        <f>"544920230710010526118611"</f>
        <v>544920230710010526118611</v>
      </c>
      <c r="C500" s="10" t="s">
        <v>7</v>
      </c>
      <c r="D500" s="10" t="str">
        <f>"王芳"</f>
        <v>王芳</v>
      </c>
      <c r="E500" s="10" t="str">
        <f t="shared" si="17"/>
        <v>女</v>
      </c>
      <c r="F500" s="10"/>
    </row>
    <row r="501" spans="1:6" ht="34.5" customHeight="1">
      <c r="A501" s="9">
        <v>499</v>
      </c>
      <c r="B501" s="10" t="str">
        <f>"544920230710032556118622"</f>
        <v>544920230710032556118622</v>
      </c>
      <c r="C501" s="10" t="s">
        <v>7</v>
      </c>
      <c r="D501" s="10" t="str">
        <f>"马敏敏"</f>
        <v>马敏敏</v>
      </c>
      <c r="E501" s="10" t="str">
        <f t="shared" si="17"/>
        <v>女</v>
      </c>
      <c r="F501" s="10"/>
    </row>
    <row r="502" spans="1:6" ht="34.5" customHeight="1">
      <c r="A502" s="9">
        <v>500</v>
      </c>
      <c r="B502" s="10" t="str">
        <f>"544920230710072201118633"</f>
        <v>544920230710072201118633</v>
      </c>
      <c r="C502" s="10" t="s">
        <v>7</v>
      </c>
      <c r="D502" s="10" t="str">
        <f>"王冬玲"</f>
        <v>王冬玲</v>
      </c>
      <c r="E502" s="10" t="str">
        <f t="shared" si="17"/>
        <v>女</v>
      </c>
      <c r="F502" s="10"/>
    </row>
    <row r="503" spans="1:6" ht="34.5" customHeight="1">
      <c r="A503" s="9">
        <v>501</v>
      </c>
      <c r="B503" s="10" t="str">
        <f>"544920230710081513118654"</f>
        <v>544920230710081513118654</v>
      </c>
      <c r="C503" s="10" t="s">
        <v>7</v>
      </c>
      <c r="D503" s="10" t="str">
        <f>"杨能"</f>
        <v>杨能</v>
      </c>
      <c r="E503" s="10" t="str">
        <f t="shared" si="17"/>
        <v>女</v>
      </c>
      <c r="F503" s="10"/>
    </row>
    <row r="504" spans="1:6" ht="34.5" customHeight="1">
      <c r="A504" s="9">
        <v>502</v>
      </c>
      <c r="B504" s="10" t="str">
        <f>"54492023070310095496133"</f>
        <v>54492023070310095496133</v>
      </c>
      <c r="C504" s="10" t="s">
        <v>7</v>
      </c>
      <c r="D504" s="10" t="str">
        <f>"冯莹莹"</f>
        <v>冯莹莹</v>
      </c>
      <c r="E504" s="10" t="str">
        <f t="shared" si="17"/>
        <v>女</v>
      </c>
      <c r="F504" s="10"/>
    </row>
    <row r="505" spans="1:6" ht="34.5" customHeight="1">
      <c r="A505" s="9">
        <v>503</v>
      </c>
      <c r="B505" s="10" t="str">
        <f>"544920230710081307118653"</f>
        <v>544920230710081307118653</v>
      </c>
      <c r="C505" s="10" t="s">
        <v>7</v>
      </c>
      <c r="D505" s="10" t="str">
        <f>"韦玉芳"</f>
        <v>韦玉芳</v>
      </c>
      <c r="E505" s="10" t="str">
        <f t="shared" si="17"/>
        <v>女</v>
      </c>
      <c r="F505" s="10"/>
    </row>
    <row r="506" spans="1:6" ht="34.5" customHeight="1">
      <c r="A506" s="9">
        <v>504</v>
      </c>
      <c r="B506" s="10" t="str">
        <f>"544920230710083346118667"</f>
        <v>544920230710083346118667</v>
      </c>
      <c r="C506" s="10" t="s">
        <v>7</v>
      </c>
      <c r="D506" s="10" t="str">
        <f>"刘祺"</f>
        <v>刘祺</v>
      </c>
      <c r="E506" s="10" t="str">
        <f t="shared" si="17"/>
        <v>女</v>
      </c>
      <c r="F506" s="10"/>
    </row>
    <row r="507" spans="1:6" ht="34.5" customHeight="1">
      <c r="A507" s="9">
        <v>505</v>
      </c>
      <c r="B507" s="10" t="str">
        <f>"544920230710083340118666"</f>
        <v>544920230710083340118666</v>
      </c>
      <c r="C507" s="10" t="s">
        <v>7</v>
      </c>
      <c r="D507" s="10" t="str">
        <f>"林萍"</f>
        <v>林萍</v>
      </c>
      <c r="E507" s="10" t="str">
        <f t="shared" si="17"/>
        <v>女</v>
      </c>
      <c r="F507" s="10"/>
    </row>
    <row r="508" spans="1:6" ht="34.5" customHeight="1">
      <c r="A508" s="9">
        <v>506</v>
      </c>
      <c r="B508" s="10" t="str">
        <f>"544920230709223956118503"</f>
        <v>544920230709223956118503</v>
      </c>
      <c r="C508" s="10" t="s">
        <v>7</v>
      </c>
      <c r="D508" s="10" t="str">
        <f>"何妍"</f>
        <v>何妍</v>
      </c>
      <c r="E508" s="10" t="str">
        <f t="shared" si="17"/>
        <v>女</v>
      </c>
      <c r="F508" s="10"/>
    </row>
    <row r="509" spans="1:6" ht="34.5" customHeight="1">
      <c r="A509" s="9">
        <v>507</v>
      </c>
      <c r="B509" s="10" t="str">
        <f>"544920230704094259100927"</f>
        <v>544920230704094259100927</v>
      </c>
      <c r="C509" s="10" t="s">
        <v>7</v>
      </c>
      <c r="D509" s="10" t="str">
        <f>"冯巧溱"</f>
        <v>冯巧溱</v>
      </c>
      <c r="E509" s="10" t="str">
        <f t="shared" si="17"/>
        <v>女</v>
      </c>
      <c r="F509" s="10"/>
    </row>
    <row r="510" spans="1:6" ht="34.5" customHeight="1">
      <c r="A510" s="9">
        <v>508</v>
      </c>
      <c r="B510" s="10" t="str">
        <f>"544920230710090258118716"</f>
        <v>544920230710090258118716</v>
      </c>
      <c r="C510" s="10" t="s">
        <v>7</v>
      </c>
      <c r="D510" s="10" t="str">
        <f>"史小翠"</f>
        <v>史小翠</v>
      </c>
      <c r="E510" s="10" t="str">
        <f t="shared" si="17"/>
        <v>女</v>
      </c>
      <c r="F510" s="10"/>
    </row>
    <row r="511" spans="1:6" ht="34.5" customHeight="1">
      <c r="A511" s="9">
        <v>509</v>
      </c>
      <c r="B511" s="10" t="str">
        <f>"544920230709231645118545"</f>
        <v>544920230709231645118545</v>
      </c>
      <c r="C511" s="10" t="s">
        <v>7</v>
      </c>
      <c r="D511" s="10" t="str">
        <f>"王子愉"</f>
        <v>王子愉</v>
      </c>
      <c r="E511" s="10" t="str">
        <f t="shared" si="17"/>
        <v>女</v>
      </c>
      <c r="F511" s="10"/>
    </row>
    <row r="512" spans="1:6" ht="34.5" customHeight="1">
      <c r="A512" s="9">
        <v>510</v>
      </c>
      <c r="B512" s="10" t="str">
        <f>"544920230709232652118552"</f>
        <v>544920230709232652118552</v>
      </c>
      <c r="C512" s="10" t="s">
        <v>7</v>
      </c>
      <c r="D512" s="10" t="str">
        <f>"唐思蕊"</f>
        <v>唐思蕊</v>
      </c>
      <c r="E512" s="10" t="str">
        <f t="shared" si="17"/>
        <v>女</v>
      </c>
      <c r="F512" s="10"/>
    </row>
    <row r="513" spans="1:6" ht="34.5" customHeight="1">
      <c r="A513" s="9">
        <v>511</v>
      </c>
      <c r="B513" s="10" t="str">
        <f>"544920230710090739118730"</f>
        <v>544920230710090739118730</v>
      </c>
      <c r="C513" s="10" t="s">
        <v>7</v>
      </c>
      <c r="D513" s="10" t="str">
        <f>"韦淑媛"</f>
        <v>韦淑媛</v>
      </c>
      <c r="E513" s="10" t="str">
        <f t="shared" si="17"/>
        <v>女</v>
      </c>
      <c r="F513" s="10"/>
    </row>
    <row r="514" spans="1:6" ht="34.5" customHeight="1">
      <c r="A514" s="9">
        <v>512</v>
      </c>
      <c r="B514" s="10" t="str">
        <f>"544920230710091527118741"</f>
        <v>544920230710091527118741</v>
      </c>
      <c r="C514" s="10" t="s">
        <v>7</v>
      </c>
      <c r="D514" s="10" t="str">
        <f>"黎学霁"</f>
        <v>黎学霁</v>
      </c>
      <c r="E514" s="10" t="str">
        <f t="shared" si="17"/>
        <v>女</v>
      </c>
      <c r="F514" s="10"/>
    </row>
    <row r="515" spans="1:6" ht="34.5" customHeight="1">
      <c r="A515" s="9">
        <v>513</v>
      </c>
      <c r="B515" s="10" t="str">
        <f>"544920230710092651118769"</f>
        <v>544920230710092651118769</v>
      </c>
      <c r="C515" s="10" t="s">
        <v>7</v>
      </c>
      <c r="D515" s="10" t="str">
        <f>"李双灼"</f>
        <v>李双灼</v>
      </c>
      <c r="E515" s="10" t="str">
        <f>"男"</f>
        <v>男</v>
      </c>
      <c r="F515" s="10"/>
    </row>
    <row r="516" spans="1:6" ht="34.5" customHeight="1">
      <c r="A516" s="9">
        <v>514</v>
      </c>
      <c r="B516" s="10" t="str">
        <f>"544920230710095225118815"</f>
        <v>544920230710095225118815</v>
      </c>
      <c r="C516" s="10" t="s">
        <v>7</v>
      </c>
      <c r="D516" s="10" t="str">
        <f>"曾其生"</f>
        <v>曾其生</v>
      </c>
      <c r="E516" s="10" t="str">
        <f>"男"</f>
        <v>男</v>
      </c>
      <c r="F516" s="10"/>
    </row>
    <row r="517" spans="1:6" ht="34.5" customHeight="1">
      <c r="A517" s="9">
        <v>515</v>
      </c>
      <c r="B517" s="10" t="str">
        <f>"544920230707165944114248"</f>
        <v>544920230707165944114248</v>
      </c>
      <c r="C517" s="10" t="s">
        <v>7</v>
      </c>
      <c r="D517" s="10" t="str">
        <f>"吴清爽"</f>
        <v>吴清爽</v>
      </c>
      <c r="E517" s="10" t="str">
        <f aca="true" t="shared" si="18" ref="E517:E552">"女"</f>
        <v>女</v>
      </c>
      <c r="F517" s="10"/>
    </row>
    <row r="518" spans="1:6" ht="34.5" customHeight="1">
      <c r="A518" s="9">
        <v>516</v>
      </c>
      <c r="B518" s="10" t="str">
        <f>"544920230710091422118739"</f>
        <v>544920230710091422118739</v>
      </c>
      <c r="C518" s="10" t="s">
        <v>7</v>
      </c>
      <c r="D518" s="10" t="str">
        <f>"曾祥蕊"</f>
        <v>曾祥蕊</v>
      </c>
      <c r="E518" s="10" t="str">
        <f t="shared" si="18"/>
        <v>女</v>
      </c>
      <c r="F518" s="10"/>
    </row>
    <row r="519" spans="1:6" ht="34.5" customHeight="1">
      <c r="A519" s="9">
        <v>517</v>
      </c>
      <c r="B519" s="10" t="str">
        <f>"544920230710095815118829"</f>
        <v>544920230710095815118829</v>
      </c>
      <c r="C519" s="10" t="s">
        <v>7</v>
      </c>
      <c r="D519" s="10" t="str">
        <f>"张小晶"</f>
        <v>张小晶</v>
      </c>
      <c r="E519" s="10" t="str">
        <f t="shared" si="18"/>
        <v>女</v>
      </c>
      <c r="F519" s="10"/>
    </row>
    <row r="520" spans="1:6" ht="34.5" customHeight="1">
      <c r="A520" s="9">
        <v>518</v>
      </c>
      <c r="B520" s="10" t="str">
        <f>"544920230707202158114897"</f>
        <v>544920230707202158114897</v>
      </c>
      <c r="C520" s="10" t="s">
        <v>7</v>
      </c>
      <c r="D520" s="10" t="str">
        <f>"唐诗雨"</f>
        <v>唐诗雨</v>
      </c>
      <c r="E520" s="10" t="str">
        <f t="shared" si="18"/>
        <v>女</v>
      </c>
      <c r="F520" s="10"/>
    </row>
    <row r="521" spans="1:6" ht="34.5" customHeight="1">
      <c r="A521" s="9">
        <v>519</v>
      </c>
      <c r="B521" s="10" t="str">
        <f>"544920230710102046118869"</f>
        <v>544920230710102046118869</v>
      </c>
      <c r="C521" s="10" t="s">
        <v>7</v>
      </c>
      <c r="D521" s="10" t="str">
        <f>"陈孟玲"</f>
        <v>陈孟玲</v>
      </c>
      <c r="E521" s="10" t="str">
        <f t="shared" si="18"/>
        <v>女</v>
      </c>
      <c r="F521" s="10"/>
    </row>
    <row r="522" spans="1:6" ht="34.5" customHeight="1">
      <c r="A522" s="9">
        <v>520</v>
      </c>
      <c r="B522" s="10" t="str">
        <f>"544920230710101624118856"</f>
        <v>544920230710101624118856</v>
      </c>
      <c r="C522" s="10" t="s">
        <v>7</v>
      </c>
      <c r="D522" s="10" t="str">
        <f>"吴锐君"</f>
        <v>吴锐君</v>
      </c>
      <c r="E522" s="10" t="str">
        <f t="shared" si="18"/>
        <v>女</v>
      </c>
      <c r="F522" s="10"/>
    </row>
    <row r="523" spans="1:6" ht="34.5" customHeight="1">
      <c r="A523" s="9">
        <v>521</v>
      </c>
      <c r="B523" s="10" t="str">
        <f>"544920230710075715118642"</f>
        <v>544920230710075715118642</v>
      </c>
      <c r="C523" s="10" t="s">
        <v>7</v>
      </c>
      <c r="D523" s="10" t="str">
        <f>"陈婷"</f>
        <v>陈婷</v>
      </c>
      <c r="E523" s="10" t="str">
        <f t="shared" si="18"/>
        <v>女</v>
      </c>
      <c r="F523" s="10" t="str">
        <f>"身份证后四位为6447"</f>
        <v>身份证后四位为6447</v>
      </c>
    </row>
    <row r="524" spans="1:6" ht="34.5" customHeight="1">
      <c r="A524" s="9">
        <v>522</v>
      </c>
      <c r="B524" s="10" t="str">
        <f>"544920230710100951118846"</f>
        <v>544920230710100951118846</v>
      </c>
      <c r="C524" s="10" t="s">
        <v>7</v>
      </c>
      <c r="D524" s="10" t="str">
        <f>"林翔"</f>
        <v>林翔</v>
      </c>
      <c r="E524" s="10" t="str">
        <f t="shared" si="18"/>
        <v>女</v>
      </c>
      <c r="F524" s="10"/>
    </row>
    <row r="525" spans="1:6" ht="34.5" customHeight="1">
      <c r="A525" s="9">
        <v>523</v>
      </c>
      <c r="B525" s="10" t="str">
        <f>"544920230710101949118865"</f>
        <v>544920230710101949118865</v>
      </c>
      <c r="C525" s="10" t="s">
        <v>7</v>
      </c>
      <c r="D525" s="10" t="str">
        <f>"陈晓妍"</f>
        <v>陈晓妍</v>
      </c>
      <c r="E525" s="10" t="str">
        <f t="shared" si="18"/>
        <v>女</v>
      </c>
      <c r="F525" s="10"/>
    </row>
    <row r="526" spans="1:6" ht="34.5" customHeight="1">
      <c r="A526" s="9">
        <v>524</v>
      </c>
      <c r="B526" s="10" t="str">
        <f>"544920230710100729118844"</f>
        <v>544920230710100729118844</v>
      </c>
      <c r="C526" s="10" t="s">
        <v>7</v>
      </c>
      <c r="D526" s="10" t="str">
        <f>"曾婷"</f>
        <v>曾婷</v>
      </c>
      <c r="E526" s="10" t="str">
        <f t="shared" si="18"/>
        <v>女</v>
      </c>
      <c r="F526" s="10"/>
    </row>
    <row r="527" spans="1:6" ht="34.5" customHeight="1">
      <c r="A527" s="9">
        <v>525</v>
      </c>
      <c r="B527" s="10" t="str">
        <f>"544920230710103552118907"</f>
        <v>544920230710103552118907</v>
      </c>
      <c r="C527" s="10" t="s">
        <v>7</v>
      </c>
      <c r="D527" s="10" t="str">
        <f>"林梅雪"</f>
        <v>林梅雪</v>
      </c>
      <c r="E527" s="10" t="str">
        <f t="shared" si="18"/>
        <v>女</v>
      </c>
      <c r="F527" s="10"/>
    </row>
    <row r="528" spans="1:6" ht="34.5" customHeight="1">
      <c r="A528" s="9">
        <v>526</v>
      </c>
      <c r="B528" s="10" t="str">
        <f>"544920230710004725118603"</f>
        <v>544920230710004725118603</v>
      </c>
      <c r="C528" s="10" t="s">
        <v>7</v>
      </c>
      <c r="D528" s="10" t="str">
        <f>"郑扬莹"</f>
        <v>郑扬莹</v>
      </c>
      <c r="E528" s="10" t="str">
        <f t="shared" si="18"/>
        <v>女</v>
      </c>
      <c r="F528" s="10"/>
    </row>
    <row r="529" spans="1:6" ht="34.5" customHeight="1">
      <c r="A529" s="9">
        <v>527</v>
      </c>
      <c r="B529" s="10" t="str">
        <f>"544920230710104322118922"</f>
        <v>544920230710104322118922</v>
      </c>
      <c r="C529" s="10" t="s">
        <v>7</v>
      </c>
      <c r="D529" s="10" t="str">
        <f>"杨旭"</f>
        <v>杨旭</v>
      </c>
      <c r="E529" s="10" t="str">
        <f t="shared" si="18"/>
        <v>女</v>
      </c>
      <c r="F529" s="10"/>
    </row>
    <row r="530" spans="1:6" ht="34.5" customHeight="1">
      <c r="A530" s="9">
        <v>528</v>
      </c>
      <c r="B530" s="10" t="str">
        <f>"544920230710105424118946"</f>
        <v>544920230710105424118946</v>
      </c>
      <c r="C530" s="10" t="s">
        <v>7</v>
      </c>
      <c r="D530" s="10" t="str">
        <f>"林哲"</f>
        <v>林哲</v>
      </c>
      <c r="E530" s="10" t="str">
        <f t="shared" si="18"/>
        <v>女</v>
      </c>
      <c r="F530" s="10"/>
    </row>
    <row r="531" spans="1:6" ht="34.5" customHeight="1">
      <c r="A531" s="9">
        <v>529</v>
      </c>
      <c r="B531" s="10" t="str">
        <f>"544920230710104833118933"</f>
        <v>544920230710104833118933</v>
      </c>
      <c r="C531" s="10" t="s">
        <v>7</v>
      </c>
      <c r="D531" s="10" t="str">
        <f>"赵初香"</f>
        <v>赵初香</v>
      </c>
      <c r="E531" s="10" t="str">
        <f t="shared" si="18"/>
        <v>女</v>
      </c>
      <c r="F531" s="10"/>
    </row>
    <row r="532" spans="1:6" ht="34.5" customHeight="1">
      <c r="A532" s="9">
        <v>530</v>
      </c>
      <c r="B532" s="10" t="str">
        <f>"544920230710111143118981"</f>
        <v>544920230710111143118981</v>
      </c>
      <c r="C532" s="10" t="s">
        <v>7</v>
      </c>
      <c r="D532" s="10" t="str">
        <f>"吴洪琳"</f>
        <v>吴洪琳</v>
      </c>
      <c r="E532" s="10" t="str">
        <f t="shared" si="18"/>
        <v>女</v>
      </c>
      <c r="F532" s="10"/>
    </row>
    <row r="533" spans="1:6" ht="34.5" customHeight="1">
      <c r="A533" s="9">
        <v>531</v>
      </c>
      <c r="B533" s="10" t="str">
        <f>"544920230710110910118972"</f>
        <v>544920230710110910118972</v>
      </c>
      <c r="C533" s="10" t="s">
        <v>7</v>
      </c>
      <c r="D533" s="10" t="str">
        <f>"羊玉欣"</f>
        <v>羊玉欣</v>
      </c>
      <c r="E533" s="10" t="str">
        <f t="shared" si="18"/>
        <v>女</v>
      </c>
      <c r="F533" s="10"/>
    </row>
    <row r="534" spans="1:6" ht="34.5" customHeight="1">
      <c r="A534" s="9">
        <v>532</v>
      </c>
      <c r="B534" s="10" t="str">
        <f>"544920230710111240118985"</f>
        <v>544920230710111240118985</v>
      </c>
      <c r="C534" s="10" t="s">
        <v>7</v>
      </c>
      <c r="D534" s="10" t="str">
        <f>"吴玉菊"</f>
        <v>吴玉菊</v>
      </c>
      <c r="E534" s="10" t="str">
        <f t="shared" si="18"/>
        <v>女</v>
      </c>
      <c r="F534" s="10"/>
    </row>
    <row r="535" spans="1:6" ht="34.5" customHeight="1">
      <c r="A535" s="9">
        <v>533</v>
      </c>
      <c r="B535" s="10" t="str">
        <f>"544920230710111943118996"</f>
        <v>544920230710111943118996</v>
      </c>
      <c r="C535" s="10" t="s">
        <v>7</v>
      </c>
      <c r="D535" s="10" t="str">
        <f>"陈思佳"</f>
        <v>陈思佳</v>
      </c>
      <c r="E535" s="10" t="str">
        <f t="shared" si="18"/>
        <v>女</v>
      </c>
      <c r="F535" s="10"/>
    </row>
    <row r="536" spans="1:6" ht="34.5" customHeight="1">
      <c r="A536" s="9">
        <v>534</v>
      </c>
      <c r="B536" s="10" t="str">
        <f>"544920230710100408118836"</f>
        <v>544920230710100408118836</v>
      </c>
      <c r="C536" s="10" t="s">
        <v>7</v>
      </c>
      <c r="D536" s="10" t="str">
        <f>"卢家莹"</f>
        <v>卢家莹</v>
      </c>
      <c r="E536" s="10" t="str">
        <f t="shared" si="18"/>
        <v>女</v>
      </c>
      <c r="F536" s="10"/>
    </row>
    <row r="537" spans="1:6" ht="34.5" customHeight="1">
      <c r="A537" s="9">
        <v>535</v>
      </c>
      <c r="B537" s="10" t="str">
        <f>"544920230710113307119035"</f>
        <v>544920230710113307119035</v>
      </c>
      <c r="C537" s="10" t="s">
        <v>7</v>
      </c>
      <c r="D537" s="10" t="str">
        <f>"孙宇飞"</f>
        <v>孙宇飞</v>
      </c>
      <c r="E537" s="10" t="str">
        <f t="shared" si="18"/>
        <v>女</v>
      </c>
      <c r="F537" s="10"/>
    </row>
    <row r="538" spans="1:6" ht="34.5" customHeight="1">
      <c r="A538" s="9">
        <v>536</v>
      </c>
      <c r="B538" s="10" t="str">
        <f>"544920230710114339119051"</f>
        <v>544920230710114339119051</v>
      </c>
      <c r="C538" s="10" t="s">
        <v>7</v>
      </c>
      <c r="D538" s="10" t="str">
        <f>"杨冰冰"</f>
        <v>杨冰冰</v>
      </c>
      <c r="E538" s="10" t="str">
        <f t="shared" si="18"/>
        <v>女</v>
      </c>
      <c r="F538" s="10"/>
    </row>
    <row r="539" spans="1:6" ht="34.5" customHeight="1">
      <c r="A539" s="9">
        <v>537</v>
      </c>
      <c r="B539" s="10" t="str">
        <f>"54492023070200183192734"</f>
        <v>54492023070200183192734</v>
      </c>
      <c r="C539" s="10" t="s">
        <v>8</v>
      </c>
      <c r="D539" s="10" t="str">
        <f>"杨芳"</f>
        <v>杨芳</v>
      </c>
      <c r="E539" s="10" t="str">
        <f t="shared" si="18"/>
        <v>女</v>
      </c>
      <c r="F539" s="10"/>
    </row>
    <row r="540" spans="1:6" ht="34.5" customHeight="1">
      <c r="A540" s="9">
        <v>538</v>
      </c>
      <c r="B540" s="10" t="str">
        <f>"54492023070208182992834"</f>
        <v>54492023070208182992834</v>
      </c>
      <c r="C540" s="10" t="s">
        <v>8</v>
      </c>
      <c r="D540" s="10" t="str">
        <f>"石萍"</f>
        <v>石萍</v>
      </c>
      <c r="E540" s="10" t="str">
        <f t="shared" si="18"/>
        <v>女</v>
      </c>
      <c r="F540" s="10"/>
    </row>
    <row r="541" spans="1:6" ht="34.5" customHeight="1">
      <c r="A541" s="9">
        <v>539</v>
      </c>
      <c r="B541" s="10" t="str">
        <f>"54492023070208433592913"</f>
        <v>54492023070208433592913</v>
      </c>
      <c r="C541" s="10" t="s">
        <v>8</v>
      </c>
      <c r="D541" s="10" t="str">
        <f>"戴立茹"</f>
        <v>戴立茹</v>
      </c>
      <c r="E541" s="10" t="str">
        <f t="shared" si="18"/>
        <v>女</v>
      </c>
      <c r="F541" s="10"/>
    </row>
    <row r="542" spans="1:6" ht="34.5" customHeight="1">
      <c r="A542" s="9">
        <v>540</v>
      </c>
      <c r="B542" s="10" t="str">
        <f>"54492023070208492992929"</f>
        <v>54492023070208492992929</v>
      </c>
      <c r="C542" s="10" t="s">
        <v>8</v>
      </c>
      <c r="D542" s="10" t="str">
        <f>"曾秀桃"</f>
        <v>曾秀桃</v>
      </c>
      <c r="E542" s="10" t="str">
        <f t="shared" si="18"/>
        <v>女</v>
      </c>
      <c r="F542" s="10"/>
    </row>
    <row r="543" spans="1:6" ht="34.5" customHeight="1">
      <c r="A543" s="9">
        <v>541</v>
      </c>
      <c r="B543" s="10" t="str">
        <f>"54492023070209215392995"</f>
        <v>54492023070209215392995</v>
      </c>
      <c r="C543" s="10" t="s">
        <v>8</v>
      </c>
      <c r="D543" s="10" t="str">
        <f>"西香菊"</f>
        <v>西香菊</v>
      </c>
      <c r="E543" s="10" t="str">
        <f t="shared" si="18"/>
        <v>女</v>
      </c>
      <c r="F543" s="10"/>
    </row>
    <row r="544" spans="1:6" ht="34.5" customHeight="1">
      <c r="A544" s="9">
        <v>542</v>
      </c>
      <c r="B544" s="10" t="str">
        <f>"54492023070210093193115"</f>
        <v>54492023070210093193115</v>
      </c>
      <c r="C544" s="10" t="s">
        <v>8</v>
      </c>
      <c r="D544" s="10" t="str">
        <f>" 陈芳兰"</f>
        <v> 陈芳兰</v>
      </c>
      <c r="E544" s="10" t="str">
        <f t="shared" si="18"/>
        <v>女</v>
      </c>
      <c r="F544" s="10"/>
    </row>
    <row r="545" spans="1:6" ht="34.5" customHeight="1">
      <c r="A545" s="9">
        <v>543</v>
      </c>
      <c r="B545" s="10" t="str">
        <f>"54492023070211001493268"</f>
        <v>54492023070211001493268</v>
      </c>
      <c r="C545" s="10" t="s">
        <v>8</v>
      </c>
      <c r="D545" s="10" t="str">
        <f>"曾丹"</f>
        <v>曾丹</v>
      </c>
      <c r="E545" s="10" t="str">
        <f t="shared" si="18"/>
        <v>女</v>
      </c>
      <c r="F545" s="10"/>
    </row>
    <row r="546" spans="1:6" ht="34.5" customHeight="1">
      <c r="A546" s="9">
        <v>544</v>
      </c>
      <c r="B546" s="10" t="str">
        <f>"54492023070211035193283"</f>
        <v>54492023070211035193283</v>
      </c>
      <c r="C546" s="10" t="s">
        <v>8</v>
      </c>
      <c r="D546" s="10" t="str">
        <f>"王兰"</f>
        <v>王兰</v>
      </c>
      <c r="E546" s="10" t="str">
        <f t="shared" si="18"/>
        <v>女</v>
      </c>
      <c r="F546" s="10"/>
    </row>
    <row r="547" spans="1:6" ht="34.5" customHeight="1">
      <c r="A547" s="9">
        <v>545</v>
      </c>
      <c r="B547" s="10" t="str">
        <f>"54492023070211450893390"</f>
        <v>54492023070211450893390</v>
      </c>
      <c r="C547" s="10" t="s">
        <v>8</v>
      </c>
      <c r="D547" s="10" t="str">
        <f>"谭荣榕"</f>
        <v>谭荣榕</v>
      </c>
      <c r="E547" s="10" t="str">
        <f t="shared" si="18"/>
        <v>女</v>
      </c>
      <c r="F547" s="10"/>
    </row>
    <row r="548" spans="1:6" ht="34.5" customHeight="1">
      <c r="A548" s="9">
        <v>546</v>
      </c>
      <c r="B548" s="10" t="str">
        <f>"54492023070212043793438"</f>
        <v>54492023070212043793438</v>
      </c>
      <c r="C548" s="10" t="s">
        <v>8</v>
      </c>
      <c r="D548" s="10" t="str">
        <f>"吴小芳"</f>
        <v>吴小芳</v>
      </c>
      <c r="E548" s="10" t="str">
        <f t="shared" si="18"/>
        <v>女</v>
      </c>
      <c r="F548" s="10"/>
    </row>
    <row r="549" spans="1:6" ht="34.5" customHeight="1">
      <c r="A549" s="9">
        <v>547</v>
      </c>
      <c r="B549" s="10" t="str">
        <f>"54492023070211353893364"</f>
        <v>54492023070211353893364</v>
      </c>
      <c r="C549" s="10" t="s">
        <v>8</v>
      </c>
      <c r="D549" s="10" t="str">
        <f>"林雅静"</f>
        <v>林雅静</v>
      </c>
      <c r="E549" s="10" t="str">
        <f t="shared" si="18"/>
        <v>女</v>
      </c>
      <c r="F549" s="10"/>
    </row>
    <row r="550" spans="1:6" ht="34.5" customHeight="1">
      <c r="A550" s="9">
        <v>548</v>
      </c>
      <c r="B550" s="10" t="str">
        <f>"54492023070212121493459"</f>
        <v>54492023070212121493459</v>
      </c>
      <c r="C550" s="10" t="s">
        <v>8</v>
      </c>
      <c r="D550" s="10" t="str">
        <f>"容小妙"</f>
        <v>容小妙</v>
      </c>
      <c r="E550" s="10" t="str">
        <f t="shared" si="18"/>
        <v>女</v>
      </c>
      <c r="F550" s="10"/>
    </row>
    <row r="551" spans="1:6" ht="34.5" customHeight="1">
      <c r="A551" s="9">
        <v>549</v>
      </c>
      <c r="B551" s="10" t="str">
        <f>"54492023070211373993370"</f>
        <v>54492023070211373993370</v>
      </c>
      <c r="C551" s="10" t="s">
        <v>8</v>
      </c>
      <c r="D551" s="10" t="str">
        <f>"柯海菁"</f>
        <v>柯海菁</v>
      </c>
      <c r="E551" s="10" t="str">
        <f t="shared" si="18"/>
        <v>女</v>
      </c>
      <c r="F551" s="10"/>
    </row>
    <row r="552" spans="1:6" ht="34.5" customHeight="1">
      <c r="A552" s="9">
        <v>550</v>
      </c>
      <c r="B552" s="10" t="str">
        <f>"54492023070212043493437"</f>
        <v>54492023070212043493437</v>
      </c>
      <c r="C552" s="10" t="s">
        <v>8</v>
      </c>
      <c r="D552" s="10" t="str">
        <f>"荣彤彤"</f>
        <v>荣彤彤</v>
      </c>
      <c r="E552" s="10" t="str">
        <f t="shared" si="18"/>
        <v>女</v>
      </c>
      <c r="F552" s="10"/>
    </row>
    <row r="553" spans="1:6" ht="34.5" customHeight="1">
      <c r="A553" s="9">
        <v>551</v>
      </c>
      <c r="B553" s="10" t="str">
        <f>"54492023070213124093610"</f>
        <v>54492023070213124093610</v>
      </c>
      <c r="C553" s="10" t="s">
        <v>8</v>
      </c>
      <c r="D553" s="10" t="str">
        <f>"吴炳坤"</f>
        <v>吴炳坤</v>
      </c>
      <c r="E553" s="10" t="str">
        <f>"男"</f>
        <v>男</v>
      </c>
      <c r="F553" s="10"/>
    </row>
    <row r="554" spans="1:6" ht="34.5" customHeight="1">
      <c r="A554" s="9">
        <v>552</v>
      </c>
      <c r="B554" s="10" t="str">
        <f>"54492023070212175593475"</f>
        <v>54492023070212175593475</v>
      </c>
      <c r="C554" s="10" t="s">
        <v>8</v>
      </c>
      <c r="D554" s="10" t="str">
        <f>"梁梦云"</f>
        <v>梁梦云</v>
      </c>
      <c r="E554" s="10" t="str">
        <f>"女"</f>
        <v>女</v>
      </c>
      <c r="F554" s="10"/>
    </row>
    <row r="555" spans="1:6" ht="34.5" customHeight="1">
      <c r="A555" s="9">
        <v>553</v>
      </c>
      <c r="B555" s="10" t="str">
        <f>"54492023070212253693492"</f>
        <v>54492023070212253693492</v>
      </c>
      <c r="C555" s="10" t="s">
        <v>8</v>
      </c>
      <c r="D555" s="10" t="str">
        <f>"刘一蓉"</f>
        <v>刘一蓉</v>
      </c>
      <c r="E555" s="10" t="str">
        <f>"女"</f>
        <v>女</v>
      </c>
      <c r="F555" s="10"/>
    </row>
    <row r="556" spans="1:6" ht="34.5" customHeight="1">
      <c r="A556" s="9">
        <v>554</v>
      </c>
      <c r="B556" s="10" t="str">
        <f>"54492023070214322293802"</f>
        <v>54492023070214322293802</v>
      </c>
      <c r="C556" s="10" t="s">
        <v>8</v>
      </c>
      <c r="D556" s="10" t="str">
        <f>"符燕飞"</f>
        <v>符燕飞</v>
      </c>
      <c r="E556" s="10" t="str">
        <f>"女"</f>
        <v>女</v>
      </c>
      <c r="F556" s="10"/>
    </row>
    <row r="557" spans="1:6" ht="34.5" customHeight="1">
      <c r="A557" s="9">
        <v>555</v>
      </c>
      <c r="B557" s="10" t="str">
        <f>"54492023070214420093830"</f>
        <v>54492023070214420093830</v>
      </c>
      <c r="C557" s="10" t="s">
        <v>8</v>
      </c>
      <c r="D557" s="10" t="str">
        <f>"王丽娃"</f>
        <v>王丽娃</v>
      </c>
      <c r="E557" s="10" t="str">
        <f>"女"</f>
        <v>女</v>
      </c>
      <c r="F557" s="10"/>
    </row>
    <row r="558" spans="1:6" ht="34.5" customHeight="1">
      <c r="A558" s="9">
        <v>556</v>
      </c>
      <c r="B558" s="10" t="str">
        <f>"54492023070213331693656"</f>
        <v>54492023070213331693656</v>
      </c>
      <c r="C558" s="10" t="s">
        <v>8</v>
      </c>
      <c r="D558" s="10" t="str">
        <f>"黄子怡"</f>
        <v>黄子怡</v>
      </c>
      <c r="E558" s="10" t="str">
        <f>"女"</f>
        <v>女</v>
      </c>
      <c r="F558" s="10"/>
    </row>
    <row r="559" spans="1:6" ht="34.5" customHeight="1">
      <c r="A559" s="9">
        <v>557</v>
      </c>
      <c r="B559" s="10" t="str">
        <f>"54492023070215174493903"</f>
        <v>54492023070215174493903</v>
      </c>
      <c r="C559" s="10" t="s">
        <v>8</v>
      </c>
      <c r="D559" s="10" t="str">
        <f>"陈延岁"</f>
        <v>陈延岁</v>
      </c>
      <c r="E559" s="10" t="str">
        <f>"男"</f>
        <v>男</v>
      </c>
      <c r="F559" s="10"/>
    </row>
    <row r="560" spans="1:6" ht="34.5" customHeight="1">
      <c r="A560" s="9">
        <v>558</v>
      </c>
      <c r="B560" s="10" t="str">
        <f>"54492023070215285493930"</f>
        <v>54492023070215285493930</v>
      </c>
      <c r="C560" s="10" t="s">
        <v>8</v>
      </c>
      <c r="D560" s="10" t="str">
        <f>"张冠琳"</f>
        <v>张冠琳</v>
      </c>
      <c r="E560" s="10" t="str">
        <f aca="true" t="shared" si="19" ref="E560:E568">"女"</f>
        <v>女</v>
      </c>
      <c r="F560" s="10"/>
    </row>
    <row r="561" spans="1:6" ht="34.5" customHeight="1">
      <c r="A561" s="9">
        <v>559</v>
      </c>
      <c r="B561" s="10" t="str">
        <f>"54492023070214533793854"</f>
        <v>54492023070214533793854</v>
      </c>
      <c r="C561" s="10" t="s">
        <v>8</v>
      </c>
      <c r="D561" s="10" t="str">
        <f>"赵阳彩"</f>
        <v>赵阳彩</v>
      </c>
      <c r="E561" s="10" t="str">
        <f t="shared" si="19"/>
        <v>女</v>
      </c>
      <c r="F561" s="10"/>
    </row>
    <row r="562" spans="1:6" ht="34.5" customHeight="1">
      <c r="A562" s="9">
        <v>560</v>
      </c>
      <c r="B562" s="10" t="str">
        <f>"54492023070215552993997"</f>
        <v>54492023070215552993997</v>
      </c>
      <c r="C562" s="10" t="s">
        <v>8</v>
      </c>
      <c r="D562" s="10" t="str">
        <f>"徐秋花"</f>
        <v>徐秋花</v>
      </c>
      <c r="E562" s="10" t="str">
        <f t="shared" si="19"/>
        <v>女</v>
      </c>
      <c r="F562" s="10"/>
    </row>
    <row r="563" spans="1:6" ht="34.5" customHeight="1">
      <c r="A563" s="9">
        <v>561</v>
      </c>
      <c r="B563" s="10" t="str">
        <f>"54492023070216101994032"</f>
        <v>54492023070216101994032</v>
      </c>
      <c r="C563" s="10" t="s">
        <v>8</v>
      </c>
      <c r="D563" s="10" t="str">
        <f>"王含文"</f>
        <v>王含文</v>
      </c>
      <c r="E563" s="10" t="str">
        <f t="shared" si="19"/>
        <v>女</v>
      </c>
      <c r="F563" s="10"/>
    </row>
    <row r="564" spans="1:6" ht="34.5" customHeight="1">
      <c r="A564" s="9">
        <v>562</v>
      </c>
      <c r="B564" s="10" t="str">
        <f>"54492023070217180294205"</f>
        <v>54492023070217180294205</v>
      </c>
      <c r="C564" s="10" t="s">
        <v>8</v>
      </c>
      <c r="D564" s="10" t="str">
        <f>"邱秋敏"</f>
        <v>邱秋敏</v>
      </c>
      <c r="E564" s="10" t="str">
        <f t="shared" si="19"/>
        <v>女</v>
      </c>
      <c r="F564" s="10"/>
    </row>
    <row r="565" spans="1:6" ht="34.5" customHeight="1">
      <c r="A565" s="9">
        <v>563</v>
      </c>
      <c r="B565" s="10" t="str">
        <f>"54492023070217274594229"</f>
        <v>54492023070217274594229</v>
      </c>
      <c r="C565" s="10" t="s">
        <v>8</v>
      </c>
      <c r="D565" s="10" t="str">
        <f>"刘珍珠"</f>
        <v>刘珍珠</v>
      </c>
      <c r="E565" s="10" t="str">
        <f t="shared" si="19"/>
        <v>女</v>
      </c>
      <c r="F565" s="10"/>
    </row>
    <row r="566" spans="1:6" ht="34.5" customHeight="1">
      <c r="A566" s="9">
        <v>564</v>
      </c>
      <c r="B566" s="10" t="str">
        <f>"54492023070216592694171"</f>
        <v>54492023070216592694171</v>
      </c>
      <c r="C566" s="10" t="s">
        <v>8</v>
      </c>
      <c r="D566" s="10" t="str">
        <f>"梁丽云"</f>
        <v>梁丽云</v>
      </c>
      <c r="E566" s="10" t="str">
        <f t="shared" si="19"/>
        <v>女</v>
      </c>
      <c r="F566" s="10"/>
    </row>
    <row r="567" spans="1:6" ht="34.5" customHeight="1">
      <c r="A567" s="9">
        <v>565</v>
      </c>
      <c r="B567" s="10" t="str">
        <f>"54492023070217391594252"</f>
        <v>54492023070217391594252</v>
      </c>
      <c r="C567" s="10" t="s">
        <v>8</v>
      </c>
      <c r="D567" s="10" t="str">
        <f>"李倩"</f>
        <v>李倩</v>
      </c>
      <c r="E567" s="10" t="str">
        <f t="shared" si="19"/>
        <v>女</v>
      </c>
      <c r="F567" s="10" t="str">
        <f>"身份证后四位为7249"</f>
        <v>身份证后四位为7249</v>
      </c>
    </row>
    <row r="568" spans="1:6" ht="34.5" customHeight="1">
      <c r="A568" s="9">
        <v>566</v>
      </c>
      <c r="B568" s="10" t="str">
        <f>"54492023070216554794161"</f>
        <v>54492023070216554794161</v>
      </c>
      <c r="C568" s="10" t="s">
        <v>8</v>
      </c>
      <c r="D568" s="10" t="str">
        <f>"熊建兰"</f>
        <v>熊建兰</v>
      </c>
      <c r="E568" s="10" t="str">
        <f t="shared" si="19"/>
        <v>女</v>
      </c>
      <c r="F568" s="10"/>
    </row>
    <row r="569" spans="1:6" ht="34.5" customHeight="1">
      <c r="A569" s="9">
        <v>567</v>
      </c>
      <c r="B569" s="10" t="str">
        <f>"54492023070218560894391"</f>
        <v>54492023070218560894391</v>
      </c>
      <c r="C569" s="10" t="s">
        <v>8</v>
      </c>
      <c r="D569" s="10" t="str">
        <f>"翁才弟"</f>
        <v>翁才弟</v>
      </c>
      <c r="E569" s="10" t="str">
        <f>"男"</f>
        <v>男</v>
      </c>
      <c r="F569" s="10"/>
    </row>
    <row r="570" spans="1:6" ht="34.5" customHeight="1">
      <c r="A570" s="9">
        <v>568</v>
      </c>
      <c r="B570" s="10" t="str">
        <f>"54492023070219092694418"</f>
        <v>54492023070219092694418</v>
      </c>
      <c r="C570" s="10" t="s">
        <v>8</v>
      </c>
      <c r="D570" s="10" t="str">
        <f>"林美伶"</f>
        <v>林美伶</v>
      </c>
      <c r="E570" s="10" t="str">
        <f>"女"</f>
        <v>女</v>
      </c>
      <c r="F570" s="10"/>
    </row>
    <row r="571" spans="1:6" ht="34.5" customHeight="1">
      <c r="A571" s="9">
        <v>569</v>
      </c>
      <c r="B571" s="10" t="str">
        <f>"54492023070219150794432"</f>
        <v>54492023070219150794432</v>
      </c>
      <c r="C571" s="10" t="s">
        <v>8</v>
      </c>
      <c r="D571" s="10" t="str">
        <f>"张仲武"</f>
        <v>张仲武</v>
      </c>
      <c r="E571" s="10" t="str">
        <f>"男"</f>
        <v>男</v>
      </c>
      <c r="F571" s="10"/>
    </row>
    <row r="572" spans="1:6" ht="34.5" customHeight="1">
      <c r="A572" s="9">
        <v>570</v>
      </c>
      <c r="B572" s="10" t="str">
        <f>"54492023070219252694458"</f>
        <v>54492023070219252694458</v>
      </c>
      <c r="C572" s="10" t="s">
        <v>8</v>
      </c>
      <c r="D572" s="10" t="str">
        <f>"陈容驰"</f>
        <v>陈容驰</v>
      </c>
      <c r="E572" s="10" t="str">
        <f>"女"</f>
        <v>女</v>
      </c>
      <c r="F572" s="10"/>
    </row>
    <row r="573" spans="1:6" ht="34.5" customHeight="1">
      <c r="A573" s="9">
        <v>571</v>
      </c>
      <c r="B573" s="10" t="str">
        <f>"54492023070219380694478"</f>
        <v>54492023070219380694478</v>
      </c>
      <c r="C573" s="10" t="s">
        <v>8</v>
      </c>
      <c r="D573" s="10" t="str">
        <f>"林喜生"</f>
        <v>林喜生</v>
      </c>
      <c r="E573" s="10" t="str">
        <f>"男"</f>
        <v>男</v>
      </c>
      <c r="F573" s="10"/>
    </row>
    <row r="574" spans="1:6" ht="34.5" customHeight="1">
      <c r="A574" s="9">
        <v>572</v>
      </c>
      <c r="B574" s="10" t="str">
        <f>"54492023070220264894571"</f>
        <v>54492023070220264894571</v>
      </c>
      <c r="C574" s="10" t="s">
        <v>8</v>
      </c>
      <c r="D574" s="10" t="str">
        <f>"梁如意"</f>
        <v>梁如意</v>
      </c>
      <c r="E574" s="10" t="str">
        <f>"女"</f>
        <v>女</v>
      </c>
      <c r="F574" s="10"/>
    </row>
    <row r="575" spans="1:6" ht="34.5" customHeight="1">
      <c r="A575" s="9">
        <v>573</v>
      </c>
      <c r="B575" s="10" t="str">
        <f>"54492023070221272294756"</f>
        <v>54492023070221272294756</v>
      </c>
      <c r="C575" s="10" t="s">
        <v>8</v>
      </c>
      <c r="D575" s="10" t="str">
        <f>"郑如云"</f>
        <v>郑如云</v>
      </c>
      <c r="E575" s="10" t="str">
        <f>"女"</f>
        <v>女</v>
      </c>
      <c r="F575" s="10"/>
    </row>
    <row r="576" spans="1:6" ht="34.5" customHeight="1">
      <c r="A576" s="9">
        <v>574</v>
      </c>
      <c r="B576" s="10" t="str">
        <f>"54492023070221474894814"</f>
        <v>54492023070221474894814</v>
      </c>
      <c r="C576" s="10" t="s">
        <v>8</v>
      </c>
      <c r="D576" s="10" t="str">
        <f>"黄红霞"</f>
        <v>黄红霞</v>
      </c>
      <c r="E576" s="10" t="str">
        <f>"女"</f>
        <v>女</v>
      </c>
      <c r="F576" s="10"/>
    </row>
    <row r="577" spans="1:6" ht="34.5" customHeight="1">
      <c r="A577" s="9">
        <v>575</v>
      </c>
      <c r="B577" s="10" t="str">
        <f>"54492023070221424794803"</f>
        <v>54492023070221424794803</v>
      </c>
      <c r="C577" s="10" t="s">
        <v>8</v>
      </c>
      <c r="D577" s="10" t="str">
        <f>"吴日暖"</f>
        <v>吴日暖</v>
      </c>
      <c r="E577" s="10" t="str">
        <f>"女"</f>
        <v>女</v>
      </c>
      <c r="F577" s="10"/>
    </row>
    <row r="578" spans="1:6" ht="34.5" customHeight="1">
      <c r="A578" s="9">
        <v>576</v>
      </c>
      <c r="B578" s="10" t="str">
        <f>"54492023070221542294836"</f>
        <v>54492023070221542294836</v>
      </c>
      <c r="C578" s="10" t="s">
        <v>8</v>
      </c>
      <c r="D578" s="10" t="str">
        <f>"吴应辉"</f>
        <v>吴应辉</v>
      </c>
      <c r="E578" s="10" t="str">
        <f>"男"</f>
        <v>男</v>
      </c>
      <c r="F578" s="10"/>
    </row>
    <row r="579" spans="1:6" ht="34.5" customHeight="1">
      <c r="A579" s="9">
        <v>577</v>
      </c>
      <c r="B579" s="10" t="str">
        <f>"54492023070222020994856"</f>
        <v>54492023070222020994856</v>
      </c>
      <c r="C579" s="10" t="s">
        <v>8</v>
      </c>
      <c r="D579" s="10" t="str">
        <f>"林必瑶"</f>
        <v>林必瑶</v>
      </c>
      <c r="E579" s="10" t="str">
        <f>"女"</f>
        <v>女</v>
      </c>
      <c r="F579" s="10"/>
    </row>
    <row r="580" spans="1:6" ht="34.5" customHeight="1">
      <c r="A580" s="9">
        <v>578</v>
      </c>
      <c r="B580" s="10" t="str">
        <f>"54492023070222365494954"</f>
        <v>54492023070222365494954</v>
      </c>
      <c r="C580" s="10" t="s">
        <v>8</v>
      </c>
      <c r="D580" s="10" t="str">
        <f>"谢欢"</f>
        <v>谢欢</v>
      </c>
      <c r="E580" s="10" t="str">
        <f>"男"</f>
        <v>男</v>
      </c>
      <c r="F580" s="10" t="str">
        <f>"身份证后四位为1019"</f>
        <v>身份证后四位为1019</v>
      </c>
    </row>
    <row r="581" spans="1:6" ht="34.5" customHeight="1">
      <c r="A581" s="9">
        <v>579</v>
      </c>
      <c r="B581" s="10" t="str">
        <f>"54492023070222010694854"</f>
        <v>54492023070222010694854</v>
      </c>
      <c r="C581" s="10" t="s">
        <v>8</v>
      </c>
      <c r="D581" s="10" t="str">
        <f>"谭朝颖"</f>
        <v>谭朝颖</v>
      </c>
      <c r="E581" s="10" t="str">
        <f aca="true" t="shared" si="20" ref="E581:E593">"女"</f>
        <v>女</v>
      </c>
      <c r="F581" s="10"/>
    </row>
    <row r="582" spans="1:6" ht="34.5" customHeight="1">
      <c r="A582" s="9">
        <v>580</v>
      </c>
      <c r="B582" s="10" t="str">
        <f>"54492023070223512295112"</f>
        <v>54492023070223512295112</v>
      </c>
      <c r="C582" s="10" t="s">
        <v>8</v>
      </c>
      <c r="D582" s="10" t="str">
        <f>"杨柔"</f>
        <v>杨柔</v>
      </c>
      <c r="E582" s="10" t="str">
        <f t="shared" si="20"/>
        <v>女</v>
      </c>
      <c r="F582" s="10"/>
    </row>
    <row r="583" spans="1:6" ht="34.5" customHeight="1">
      <c r="A583" s="9">
        <v>581</v>
      </c>
      <c r="B583" s="10" t="str">
        <f>"54492023070300361695166"</f>
        <v>54492023070300361695166</v>
      </c>
      <c r="C583" s="10" t="s">
        <v>8</v>
      </c>
      <c r="D583" s="10" t="str">
        <f>"韦冬梅"</f>
        <v>韦冬梅</v>
      </c>
      <c r="E583" s="10" t="str">
        <f t="shared" si="20"/>
        <v>女</v>
      </c>
      <c r="F583" s="10"/>
    </row>
    <row r="584" spans="1:6" ht="34.5" customHeight="1">
      <c r="A584" s="9">
        <v>582</v>
      </c>
      <c r="B584" s="10" t="str">
        <f>"54492023070308241795309"</f>
        <v>54492023070308241795309</v>
      </c>
      <c r="C584" s="10" t="s">
        <v>8</v>
      </c>
      <c r="D584" s="10" t="str">
        <f>"石萃婉"</f>
        <v>石萃婉</v>
      </c>
      <c r="E584" s="10" t="str">
        <f t="shared" si="20"/>
        <v>女</v>
      </c>
      <c r="F584" s="10"/>
    </row>
    <row r="585" spans="1:6" ht="34.5" customHeight="1">
      <c r="A585" s="9">
        <v>583</v>
      </c>
      <c r="B585" s="10" t="str">
        <f>"54492023070309031995481"</f>
        <v>54492023070309031995481</v>
      </c>
      <c r="C585" s="10" t="s">
        <v>8</v>
      </c>
      <c r="D585" s="10" t="str">
        <f>"王卫娜"</f>
        <v>王卫娜</v>
      </c>
      <c r="E585" s="10" t="str">
        <f t="shared" si="20"/>
        <v>女</v>
      </c>
      <c r="F585" s="10"/>
    </row>
    <row r="586" spans="1:6" ht="34.5" customHeight="1">
      <c r="A586" s="9">
        <v>584</v>
      </c>
      <c r="B586" s="10" t="str">
        <f>"54492023070309042195500"</f>
        <v>54492023070309042195500</v>
      </c>
      <c r="C586" s="10" t="s">
        <v>8</v>
      </c>
      <c r="D586" s="10" t="str">
        <f>"杨双玲"</f>
        <v>杨双玲</v>
      </c>
      <c r="E586" s="10" t="str">
        <f t="shared" si="20"/>
        <v>女</v>
      </c>
      <c r="F586" s="10"/>
    </row>
    <row r="587" spans="1:6" ht="34.5" customHeight="1">
      <c r="A587" s="9">
        <v>585</v>
      </c>
      <c r="B587" s="10" t="str">
        <f>"54492023070309270495745"</f>
        <v>54492023070309270495745</v>
      </c>
      <c r="C587" s="10" t="s">
        <v>8</v>
      </c>
      <c r="D587" s="10" t="str">
        <f>"高云蕊"</f>
        <v>高云蕊</v>
      </c>
      <c r="E587" s="10" t="str">
        <f t="shared" si="20"/>
        <v>女</v>
      </c>
      <c r="F587" s="10"/>
    </row>
    <row r="588" spans="1:6" ht="34.5" customHeight="1">
      <c r="A588" s="9">
        <v>586</v>
      </c>
      <c r="B588" s="10" t="str">
        <f>"54492023070309323695800"</f>
        <v>54492023070309323695800</v>
      </c>
      <c r="C588" s="10" t="s">
        <v>8</v>
      </c>
      <c r="D588" s="10" t="str">
        <f>"钟呈慧"</f>
        <v>钟呈慧</v>
      </c>
      <c r="E588" s="10" t="str">
        <f t="shared" si="20"/>
        <v>女</v>
      </c>
      <c r="F588" s="10"/>
    </row>
    <row r="589" spans="1:6" ht="34.5" customHeight="1">
      <c r="A589" s="9">
        <v>587</v>
      </c>
      <c r="B589" s="10" t="str">
        <f>"54492023070308564595416"</f>
        <v>54492023070308564595416</v>
      </c>
      <c r="C589" s="10" t="s">
        <v>8</v>
      </c>
      <c r="D589" s="10" t="str">
        <f>"陈玉梅"</f>
        <v>陈玉梅</v>
      </c>
      <c r="E589" s="10" t="str">
        <f t="shared" si="20"/>
        <v>女</v>
      </c>
      <c r="F589" s="10"/>
    </row>
    <row r="590" spans="1:6" ht="34.5" customHeight="1">
      <c r="A590" s="9">
        <v>588</v>
      </c>
      <c r="B590" s="10" t="str">
        <f>"54492023070309475995941"</f>
        <v>54492023070309475995941</v>
      </c>
      <c r="C590" s="10" t="s">
        <v>8</v>
      </c>
      <c r="D590" s="10" t="str">
        <f>"王婆平"</f>
        <v>王婆平</v>
      </c>
      <c r="E590" s="10" t="str">
        <f t="shared" si="20"/>
        <v>女</v>
      </c>
      <c r="F590" s="10"/>
    </row>
    <row r="591" spans="1:6" ht="34.5" customHeight="1">
      <c r="A591" s="9">
        <v>589</v>
      </c>
      <c r="B591" s="10" t="str">
        <f>"54492023070220300894584"</f>
        <v>54492023070220300894584</v>
      </c>
      <c r="C591" s="10" t="s">
        <v>8</v>
      </c>
      <c r="D591" s="10" t="str">
        <f>"王符姑"</f>
        <v>王符姑</v>
      </c>
      <c r="E591" s="10" t="str">
        <f t="shared" si="20"/>
        <v>女</v>
      </c>
      <c r="F591" s="10"/>
    </row>
    <row r="592" spans="1:6" ht="34.5" customHeight="1">
      <c r="A592" s="9">
        <v>590</v>
      </c>
      <c r="B592" s="10" t="str">
        <f>"54492023070309542496015"</f>
        <v>54492023070309542496015</v>
      </c>
      <c r="C592" s="10" t="s">
        <v>8</v>
      </c>
      <c r="D592" s="10" t="str">
        <f>"邓华清"</f>
        <v>邓华清</v>
      </c>
      <c r="E592" s="10" t="str">
        <f t="shared" si="20"/>
        <v>女</v>
      </c>
      <c r="F592" s="10"/>
    </row>
    <row r="593" spans="1:6" ht="34.5" customHeight="1">
      <c r="A593" s="9">
        <v>591</v>
      </c>
      <c r="B593" s="10" t="str">
        <f>"54492023070213571293710"</f>
        <v>54492023070213571293710</v>
      </c>
      <c r="C593" s="10" t="s">
        <v>8</v>
      </c>
      <c r="D593" s="10" t="str">
        <f>"符诗琪"</f>
        <v>符诗琪</v>
      </c>
      <c r="E593" s="10" t="str">
        <f t="shared" si="20"/>
        <v>女</v>
      </c>
      <c r="F593" s="10"/>
    </row>
    <row r="594" spans="1:6" ht="34.5" customHeight="1">
      <c r="A594" s="9">
        <v>592</v>
      </c>
      <c r="B594" s="10" t="str">
        <f>"54492023070219471694497"</f>
        <v>54492023070219471694497</v>
      </c>
      <c r="C594" s="10" t="s">
        <v>8</v>
      </c>
      <c r="D594" s="10" t="str">
        <f>"潘任翔"</f>
        <v>潘任翔</v>
      </c>
      <c r="E594" s="10" t="str">
        <f>"男"</f>
        <v>男</v>
      </c>
      <c r="F594" s="10"/>
    </row>
    <row r="595" spans="1:6" ht="34.5" customHeight="1">
      <c r="A595" s="9">
        <v>593</v>
      </c>
      <c r="B595" s="10" t="str">
        <f>"54492023070310020496078"</f>
        <v>54492023070310020496078</v>
      </c>
      <c r="C595" s="10" t="s">
        <v>8</v>
      </c>
      <c r="D595" s="10" t="str">
        <f>"苏祥娜"</f>
        <v>苏祥娜</v>
      </c>
      <c r="E595" s="10" t="str">
        <f aca="true" t="shared" si="21" ref="E595:E608">"女"</f>
        <v>女</v>
      </c>
      <c r="F595" s="10"/>
    </row>
    <row r="596" spans="1:6" ht="34.5" customHeight="1">
      <c r="A596" s="9">
        <v>594</v>
      </c>
      <c r="B596" s="10" t="str">
        <f>"54492023070309440995911"</f>
        <v>54492023070309440995911</v>
      </c>
      <c r="C596" s="10" t="s">
        <v>8</v>
      </c>
      <c r="D596" s="10" t="str">
        <f>"薛瑞飞"</f>
        <v>薛瑞飞</v>
      </c>
      <c r="E596" s="10" t="str">
        <f t="shared" si="21"/>
        <v>女</v>
      </c>
      <c r="F596" s="10"/>
    </row>
    <row r="597" spans="1:6" ht="34.5" customHeight="1">
      <c r="A597" s="9">
        <v>595</v>
      </c>
      <c r="B597" s="10" t="str">
        <f>"54492023070310331596309"</f>
        <v>54492023070310331596309</v>
      </c>
      <c r="C597" s="10" t="s">
        <v>8</v>
      </c>
      <c r="D597" s="10" t="str">
        <f>"孙巧娟"</f>
        <v>孙巧娟</v>
      </c>
      <c r="E597" s="10" t="str">
        <f t="shared" si="21"/>
        <v>女</v>
      </c>
      <c r="F597" s="10"/>
    </row>
    <row r="598" spans="1:6" ht="34.5" customHeight="1">
      <c r="A598" s="9">
        <v>596</v>
      </c>
      <c r="B598" s="10" t="str">
        <f>"54492023070311053096563"</f>
        <v>54492023070311053096563</v>
      </c>
      <c r="C598" s="10" t="s">
        <v>8</v>
      </c>
      <c r="D598" s="10" t="str">
        <f>"麦云慧"</f>
        <v>麦云慧</v>
      </c>
      <c r="E598" s="10" t="str">
        <f t="shared" si="21"/>
        <v>女</v>
      </c>
      <c r="F598" s="10"/>
    </row>
    <row r="599" spans="1:6" ht="34.5" customHeight="1">
      <c r="A599" s="9">
        <v>597</v>
      </c>
      <c r="B599" s="10" t="str">
        <f>"54492023070311152496633"</f>
        <v>54492023070311152496633</v>
      </c>
      <c r="C599" s="10" t="s">
        <v>8</v>
      </c>
      <c r="D599" s="10" t="str">
        <f>"徐桃来"</f>
        <v>徐桃来</v>
      </c>
      <c r="E599" s="10" t="str">
        <f t="shared" si="21"/>
        <v>女</v>
      </c>
      <c r="F599" s="10"/>
    </row>
    <row r="600" spans="1:6" ht="34.5" customHeight="1">
      <c r="A600" s="9">
        <v>598</v>
      </c>
      <c r="B600" s="10" t="str">
        <f>"54492023070312220697010"</f>
        <v>54492023070312220697010</v>
      </c>
      <c r="C600" s="10" t="s">
        <v>8</v>
      </c>
      <c r="D600" s="10" t="str">
        <f>"陈丽莹"</f>
        <v>陈丽莹</v>
      </c>
      <c r="E600" s="10" t="str">
        <f t="shared" si="21"/>
        <v>女</v>
      </c>
      <c r="F600" s="10"/>
    </row>
    <row r="601" spans="1:6" ht="34.5" customHeight="1">
      <c r="A601" s="9">
        <v>599</v>
      </c>
      <c r="B601" s="10" t="str">
        <f>"54492023070313275397395"</f>
        <v>54492023070313275397395</v>
      </c>
      <c r="C601" s="10" t="s">
        <v>8</v>
      </c>
      <c r="D601" s="10" t="str">
        <f>"陈小丽"</f>
        <v>陈小丽</v>
      </c>
      <c r="E601" s="10" t="str">
        <f t="shared" si="21"/>
        <v>女</v>
      </c>
      <c r="F601" s="10"/>
    </row>
    <row r="602" spans="1:6" ht="34.5" customHeight="1">
      <c r="A602" s="9">
        <v>600</v>
      </c>
      <c r="B602" s="10" t="str">
        <f>"54492023070313265097390"</f>
        <v>54492023070313265097390</v>
      </c>
      <c r="C602" s="10" t="s">
        <v>8</v>
      </c>
      <c r="D602" s="10" t="str">
        <f>"潘万娇"</f>
        <v>潘万娇</v>
      </c>
      <c r="E602" s="10" t="str">
        <f t="shared" si="21"/>
        <v>女</v>
      </c>
      <c r="F602" s="10"/>
    </row>
    <row r="603" spans="1:6" ht="34.5" customHeight="1">
      <c r="A603" s="9">
        <v>601</v>
      </c>
      <c r="B603" s="10" t="str">
        <f>"54492023070308431095373"</f>
        <v>54492023070308431095373</v>
      </c>
      <c r="C603" s="10" t="s">
        <v>8</v>
      </c>
      <c r="D603" s="10" t="str">
        <f>"曾婧雯"</f>
        <v>曾婧雯</v>
      </c>
      <c r="E603" s="10" t="str">
        <f t="shared" si="21"/>
        <v>女</v>
      </c>
      <c r="F603" s="10"/>
    </row>
    <row r="604" spans="1:6" ht="34.5" customHeight="1">
      <c r="A604" s="9">
        <v>602</v>
      </c>
      <c r="B604" s="10" t="str">
        <f>"54492023070214025993727"</f>
        <v>54492023070214025993727</v>
      </c>
      <c r="C604" s="10" t="s">
        <v>8</v>
      </c>
      <c r="D604" s="10" t="str">
        <f>"卢佳佳"</f>
        <v>卢佳佳</v>
      </c>
      <c r="E604" s="10" t="str">
        <f t="shared" si="21"/>
        <v>女</v>
      </c>
      <c r="F604" s="10"/>
    </row>
    <row r="605" spans="1:6" ht="34.5" customHeight="1">
      <c r="A605" s="9">
        <v>603</v>
      </c>
      <c r="B605" s="10" t="str">
        <f>"54492023070315372598031"</f>
        <v>54492023070315372598031</v>
      </c>
      <c r="C605" s="10" t="s">
        <v>8</v>
      </c>
      <c r="D605" s="10" t="str">
        <f>"陈小红"</f>
        <v>陈小红</v>
      </c>
      <c r="E605" s="10" t="str">
        <f t="shared" si="21"/>
        <v>女</v>
      </c>
      <c r="F605" s="10"/>
    </row>
    <row r="606" spans="1:6" ht="34.5" customHeight="1">
      <c r="A606" s="9">
        <v>604</v>
      </c>
      <c r="B606" s="10" t="str">
        <f>"54492023070315544298144"</f>
        <v>54492023070315544298144</v>
      </c>
      <c r="C606" s="10" t="s">
        <v>8</v>
      </c>
      <c r="D606" s="10" t="str">
        <f>"石长虹"</f>
        <v>石长虹</v>
      </c>
      <c r="E606" s="10" t="str">
        <f t="shared" si="21"/>
        <v>女</v>
      </c>
      <c r="F606" s="10"/>
    </row>
    <row r="607" spans="1:6" ht="34.5" customHeight="1">
      <c r="A607" s="9">
        <v>605</v>
      </c>
      <c r="B607" s="10" t="str">
        <f>"54492023070316065698206"</f>
        <v>54492023070316065698206</v>
      </c>
      <c r="C607" s="10" t="s">
        <v>8</v>
      </c>
      <c r="D607" s="10" t="str">
        <f>"苏元丽"</f>
        <v>苏元丽</v>
      </c>
      <c r="E607" s="10" t="str">
        <f t="shared" si="21"/>
        <v>女</v>
      </c>
      <c r="F607" s="10"/>
    </row>
    <row r="608" spans="1:6" ht="34.5" customHeight="1">
      <c r="A608" s="9">
        <v>606</v>
      </c>
      <c r="B608" s="10" t="str">
        <f>"54492023070315514398123"</f>
        <v>54492023070315514398123</v>
      </c>
      <c r="C608" s="10" t="s">
        <v>8</v>
      </c>
      <c r="D608" s="10" t="str">
        <f>"黄长虹"</f>
        <v>黄长虹</v>
      </c>
      <c r="E608" s="10" t="str">
        <f t="shared" si="21"/>
        <v>女</v>
      </c>
      <c r="F608" s="10"/>
    </row>
    <row r="609" spans="1:6" ht="34.5" customHeight="1">
      <c r="A609" s="9">
        <v>607</v>
      </c>
      <c r="B609" s="10" t="str">
        <f>"54492023070309560496029"</f>
        <v>54492023070309560496029</v>
      </c>
      <c r="C609" s="10" t="s">
        <v>8</v>
      </c>
      <c r="D609" s="10" t="str">
        <f>"吕言"</f>
        <v>吕言</v>
      </c>
      <c r="E609" s="10" t="str">
        <f>"男"</f>
        <v>男</v>
      </c>
      <c r="F609" s="10"/>
    </row>
    <row r="610" spans="1:6" ht="34.5" customHeight="1">
      <c r="A610" s="9">
        <v>608</v>
      </c>
      <c r="B610" s="10" t="str">
        <f>"54492023070317192198623"</f>
        <v>54492023070317192198623</v>
      </c>
      <c r="C610" s="10" t="s">
        <v>8</v>
      </c>
      <c r="D610" s="10" t="str">
        <f>"陈荟朱"</f>
        <v>陈荟朱</v>
      </c>
      <c r="E610" s="10" t="str">
        <f aca="true" t="shared" si="22" ref="E610:E616">"女"</f>
        <v>女</v>
      </c>
      <c r="F610" s="10"/>
    </row>
    <row r="611" spans="1:6" ht="34.5" customHeight="1">
      <c r="A611" s="9">
        <v>609</v>
      </c>
      <c r="B611" s="10" t="str">
        <f>"54492023070318155198850"</f>
        <v>54492023070318155198850</v>
      </c>
      <c r="C611" s="10" t="s">
        <v>8</v>
      </c>
      <c r="D611" s="10" t="str">
        <f>"王涵"</f>
        <v>王涵</v>
      </c>
      <c r="E611" s="10" t="str">
        <f t="shared" si="22"/>
        <v>女</v>
      </c>
      <c r="F611" s="10"/>
    </row>
    <row r="612" spans="1:6" ht="34.5" customHeight="1">
      <c r="A612" s="9">
        <v>610</v>
      </c>
      <c r="B612" s="10" t="str">
        <f>"54492023070318433498958"</f>
        <v>54492023070318433498958</v>
      </c>
      <c r="C612" s="10" t="s">
        <v>8</v>
      </c>
      <c r="D612" s="10" t="str">
        <f>"李玉珍"</f>
        <v>李玉珍</v>
      </c>
      <c r="E612" s="10" t="str">
        <f t="shared" si="22"/>
        <v>女</v>
      </c>
      <c r="F612" s="10"/>
    </row>
    <row r="613" spans="1:6" ht="34.5" customHeight="1">
      <c r="A613" s="9">
        <v>611</v>
      </c>
      <c r="B613" s="10" t="str">
        <f>"54492023070318304198906"</f>
        <v>54492023070318304198906</v>
      </c>
      <c r="C613" s="10" t="s">
        <v>8</v>
      </c>
      <c r="D613" s="10" t="str">
        <f>"王可盈"</f>
        <v>王可盈</v>
      </c>
      <c r="E613" s="10" t="str">
        <f t="shared" si="22"/>
        <v>女</v>
      </c>
      <c r="F613" s="10"/>
    </row>
    <row r="614" spans="1:6" ht="34.5" customHeight="1">
      <c r="A614" s="9">
        <v>612</v>
      </c>
      <c r="B614" s="10" t="str">
        <f>"54492023070223145895048"</f>
        <v>54492023070223145895048</v>
      </c>
      <c r="C614" s="10" t="s">
        <v>8</v>
      </c>
      <c r="D614" s="10" t="str">
        <f>"陈敏珠"</f>
        <v>陈敏珠</v>
      </c>
      <c r="E614" s="10" t="str">
        <f t="shared" si="22"/>
        <v>女</v>
      </c>
      <c r="F614" s="10"/>
    </row>
    <row r="615" spans="1:6" ht="34.5" customHeight="1">
      <c r="A615" s="9">
        <v>613</v>
      </c>
      <c r="B615" s="10" t="str">
        <f>"54492023070308435295375"</f>
        <v>54492023070308435295375</v>
      </c>
      <c r="C615" s="10" t="s">
        <v>8</v>
      </c>
      <c r="D615" s="10" t="str">
        <f>"邹怡"</f>
        <v>邹怡</v>
      </c>
      <c r="E615" s="10" t="str">
        <f t="shared" si="22"/>
        <v>女</v>
      </c>
      <c r="F615" s="10"/>
    </row>
    <row r="616" spans="1:6" ht="34.5" customHeight="1">
      <c r="A616" s="9">
        <v>614</v>
      </c>
      <c r="B616" s="10" t="str">
        <f>"54492023070221481694816"</f>
        <v>54492023070221481694816</v>
      </c>
      <c r="C616" s="10" t="s">
        <v>8</v>
      </c>
      <c r="D616" s="10" t="str">
        <f>"董霭芳"</f>
        <v>董霭芳</v>
      </c>
      <c r="E616" s="10" t="str">
        <f t="shared" si="22"/>
        <v>女</v>
      </c>
      <c r="F616" s="10"/>
    </row>
    <row r="617" spans="1:6" ht="34.5" customHeight="1">
      <c r="A617" s="9">
        <v>615</v>
      </c>
      <c r="B617" s="10" t="str">
        <f>"54492023070213073693600"</f>
        <v>54492023070213073693600</v>
      </c>
      <c r="C617" s="10" t="s">
        <v>8</v>
      </c>
      <c r="D617" s="10" t="str">
        <f>"张基华"</f>
        <v>张基华</v>
      </c>
      <c r="E617" s="10" t="str">
        <f>"男"</f>
        <v>男</v>
      </c>
      <c r="F617" s="10"/>
    </row>
    <row r="618" spans="1:6" ht="34.5" customHeight="1">
      <c r="A618" s="9">
        <v>616</v>
      </c>
      <c r="B618" s="10" t="str">
        <f>"54492023070320431499446"</f>
        <v>54492023070320431499446</v>
      </c>
      <c r="C618" s="10" t="s">
        <v>8</v>
      </c>
      <c r="D618" s="10" t="str">
        <f>"韩瑞"</f>
        <v>韩瑞</v>
      </c>
      <c r="E618" s="10" t="str">
        <f>"女"</f>
        <v>女</v>
      </c>
      <c r="F618" s="10"/>
    </row>
    <row r="619" spans="1:6" ht="34.5" customHeight="1">
      <c r="A619" s="9">
        <v>617</v>
      </c>
      <c r="B619" s="10" t="str">
        <f>"54492023070320261799350"</f>
        <v>54492023070320261799350</v>
      </c>
      <c r="C619" s="10" t="s">
        <v>8</v>
      </c>
      <c r="D619" s="10" t="str">
        <f>"符筱霞"</f>
        <v>符筱霞</v>
      </c>
      <c r="E619" s="10" t="str">
        <f>"女"</f>
        <v>女</v>
      </c>
      <c r="F619" s="10"/>
    </row>
    <row r="620" spans="1:6" ht="34.5" customHeight="1">
      <c r="A620" s="9">
        <v>618</v>
      </c>
      <c r="B620" s="10" t="str">
        <f>"54492023070320591499523"</f>
        <v>54492023070320591499523</v>
      </c>
      <c r="C620" s="10" t="s">
        <v>8</v>
      </c>
      <c r="D620" s="10" t="str">
        <f>"张英惠"</f>
        <v>张英惠</v>
      </c>
      <c r="E620" s="10" t="str">
        <f>"女"</f>
        <v>女</v>
      </c>
      <c r="F620" s="10"/>
    </row>
    <row r="621" spans="1:6" ht="34.5" customHeight="1">
      <c r="A621" s="9">
        <v>619</v>
      </c>
      <c r="B621" s="10" t="str">
        <f>"54492023070321351399724"</f>
        <v>54492023070321351399724</v>
      </c>
      <c r="C621" s="10" t="s">
        <v>8</v>
      </c>
      <c r="D621" s="10" t="str">
        <f>"王蕊"</f>
        <v>王蕊</v>
      </c>
      <c r="E621" s="10" t="str">
        <f>"女"</f>
        <v>女</v>
      </c>
      <c r="F621" s="10"/>
    </row>
    <row r="622" spans="1:6" ht="34.5" customHeight="1">
      <c r="A622" s="9">
        <v>620</v>
      </c>
      <c r="B622" s="10" t="str">
        <f>"54492023070321450399764"</f>
        <v>54492023070321450399764</v>
      </c>
      <c r="C622" s="10" t="s">
        <v>8</v>
      </c>
      <c r="D622" s="10" t="str">
        <f>"符天武"</f>
        <v>符天武</v>
      </c>
      <c r="E622" s="10" t="str">
        <f>"男"</f>
        <v>男</v>
      </c>
      <c r="F622" s="10"/>
    </row>
    <row r="623" spans="1:6" ht="34.5" customHeight="1">
      <c r="A623" s="9">
        <v>621</v>
      </c>
      <c r="B623" s="10" t="str">
        <f>"54492023070322013899841"</f>
        <v>54492023070322013899841</v>
      </c>
      <c r="C623" s="10" t="s">
        <v>8</v>
      </c>
      <c r="D623" s="10" t="str">
        <f>"苏醒"</f>
        <v>苏醒</v>
      </c>
      <c r="E623" s="10" t="str">
        <f>"女"</f>
        <v>女</v>
      </c>
      <c r="F623" s="10"/>
    </row>
    <row r="624" spans="1:6" ht="34.5" customHeight="1">
      <c r="A624" s="9">
        <v>622</v>
      </c>
      <c r="B624" s="10" t="str">
        <f>"54492023070322290699981"</f>
        <v>54492023070322290699981</v>
      </c>
      <c r="C624" s="10" t="s">
        <v>8</v>
      </c>
      <c r="D624" s="10" t="str">
        <f>"陈长荟"</f>
        <v>陈长荟</v>
      </c>
      <c r="E624" s="10" t="str">
        <f>"男"</f>
        <v>男</v>
      </c>
      <c r="F624" s="10"/>
    </row>
    <row r="625" spans="1:6" ht="34.5" customHeight="1">
      <c r="A625" s="9">
        <v>623</v>
      </c>
      <c r="B625" s="10" t="str">
        <f>"54492023070212332893514"</f>
        <v>54492023070212332893514</v>
      </c>
      <c r="C625" s="10" t="s">
        <v>8</v>
      </c>
      <c r="D625" s="10" t="str">
        <f>"赵小倩"</f>
        <v>赵小倩</v>
      </c>
      <c r="E625" s="10" t="str">
        <f>"女"</f>
        <v>女</v>
      </c>
      <c r="F625" s="10"/>
    </row>
    <row r="626" spans="1:6" ht="34.5" customHeight="1">
      <c r="A626" s="9">
        <v>624</v>
      </c>
      <c r="B626" s="10" t="str">
        <f>"54492023070322054299867"</f>
        <v>54492023070322054299867</v>
      </c>
      <c r="C626" s="10" t="s">
        <v>8</v>
      </c>
      <c r="D626" s="10" t="str">
        <f>"焦兴萍"</f>
        <v>焦兴萍</v>
      </c>
      <c r="E626" s="10" t="str">
        <f>"女"</f>
        <v>女</v>
      </c>
      <c r="F626" s="10"/>
    </row>
    <row r="627" spans="1:6" ht="34.5" customHeight="1">
      <c r="A627" s="9">
        <v>625</v>
      </c>
      <c r="B627" s="10" t="str">
        <f>"544920230704062128100440"</f>
        <v>544920230704062128100440</v>
      </c>
      <c r="C627" s="10" t="s">
        <v>8</v>
      </c>
      <c r="D627" s="10" t="str">
        <f>"林诗桂"</f>
        <v>林诗桂</v>
      </c>
      <c r="E627" s="10" t="str">
        <f>"男"</f>
        <v>男</v>
      </c>
      <c r="F627" s="10"/>
    </row>
    <row r="628" spans="1:6" ht="34.5" customHeight="1">
      <c r="A628" s="9">
        <v>626</v>
      </c>
      <c r="B628" s="10" t="str">
        <f>"544920230704075334100491"</f>
        <v>544920230704075334100491</v>
      </c>
      <c r="C628" s="10" t="s">
        <v>8</v>
      </c>
      <c r="D628" s="10" t="str">
        <f>"王艺璇"</f>
        <v>王艺璇</v>
      </c>
      <c r="E628" s="10" t="str">
        <f aca="true" t="shared" si="23" ref="E628:E645">"女"</f>
        <v>女</v>
      </c>
      <c r="F628" s="10"/>
    </row>
    <row r="629" spans="1:6" ht="34.5" customHeight="1">
      <c r="A629" s="9">
        <v>627</v>
      </c>
      <c r="B629" s="10" t="str">
        <f>"544920230704075151100486"</f>
        <v>544920230704075151100486</v>
      </c>
      <c r="C629" s="10" t="s">
        <v>8</v>
      </c>
      <c r="D629" s="10" t="str">
        <f>"杨井桑"</f>
        <v>杨井桑</v>
      </c>
      <c r="E629" s="10" t="str">
        <f t="shared" si="23"/>
        <v>女</v>
      </c>
      <c r="F629" s="10"/>
    </row>
    <row r="630" spans="1:6" ht="34.5" customHeight="1">
      <c r="A630" s="9">
        <v>628</v>
      </c>
      <c r="B630" s="10" t="str">
        <f>"544920230704082001100556"</f>
        <v>544920230704082001100556</v>
      </c>
      <c r="C630" s="10" t="s">
        <v>8</v>
      </c>
      <c r="D630" s="10" t="str">
        <f>"吴增玲"</f>
        <v>吴增玲</v>
      </c>
      <c r="E630" s="10" t="str">
        <f t="shared" si="23"/>
        <v>女</v>
      </c>
      <c r="F630" s="10"/>
    </row>
    <row r="631" spans="1:6" ht="34.5" customHeight="1">
      <c r="A631" s="9">
        <v>629</v>
      </c>
      <c r="B631" s="10" t="str">
        <f>"544920230704092138100815"</f>
        <v>544920230704092138100815</v>
      </c>
      <c r="C631" s="10" t="s">
        <v>8</v>
      </c>
      <c r="D631" s="10" t="str">
        <f>"周琦慧"</f>
        <v>周琦慧</v>
      </c>
      <c r="E631" s="10" t="str">
        <f t="shared" si="23"/>
        <v>女</v>
      </c>
      <c r="F631" s="10"/>
    </row>
    <row r="632" spans="1:6" ht="34.5" customHeight="1">
      <c r="A632" s="9">
        <v>630</v>
      </c>
      <c r="B632" s="10" t="str">
        <f>"544920230704094017100913"</f>
        <v>544920230704094017100913</v>
      </c>
      <c r="C632" s="10" t="s">
        <v>8</v>
      </c>
      <c r="D632" s="10" t="str">
        <f>"李妍"</f>
        <v>李妍</v>
      </c>
      <c r="E632" s="10" t="str">
        <f t="shared" si="23"/>
        <v>女</v>
      </c>
      <c r="F632" s="10"/>
    </row>
    <row r="633" spans="1:6" ht="34.5" customHeight="1">
      <c r="A633" s="9">
        <v>631</v>
      </c>
      <c r="B633" s="10" t="str">
        <f>"54492023070314570597775"</f>
        <v>54492023070314570597775</v>
      </c>
      <c r="C633" s="10" t="s">
        <v>8</v>
      </c>
      <c r="D633" s="10" t="str">
        <f>"董吉芬"</f>
        <v>董吉芬</v>
      </c>
      <c r="E633" s="10" t="str">
        <f t="shared" si="23"/>
        <v>女</v>
      </c>
      <c r="F633" s="10"/>
    </row>
    <row r="634" spans="1:6" ht="34.5" customHeight="1">
      <c r="A634" s="9">
        <v>632</v>
      </c>
      <c r="B634" s="10" t="str">
        <f>"54492023070308005695271"</f>
        <v>54492023070308005695271</v>
      </c>
      <c r="C634" s="10" t="s">
        <v>8</v>
      </c>
      <c r="D634" s="10" t="str">
        <f>"王宝俪"</f>
        <v>王宝俪</v>
      </c>
      <c r="E634" s="10" t="str">
        <f t="shared" si="23"/>
        <v>女</v>
      </c>
      <c r="F634" s="10"/>
    </row>
    <row r="635" spans="1:6" ht="34.5" customHeight="1">
      <c r="A635" s="9">
        <v>633</v>
      </c>
      <c r="B635" s="10" t="str">
        <f>"544920230704102525101117"</f>
        <v>544920230704102525101117</v>
      </c>
      <c r="C635" s="10" t="s">
        <v>8</v>
      </c>
      <c r="D635" s="10" t="str">
        <f>"邢坤"</f>
        <v>邢坤</v>
      </c>
      <c r="E635" s="10" t="str">
        <f t="shared" si="23"/>
        <v>女</v>
      </c>
      <c r="F635" s="10"/>
    </row>
    <row r="636" spans="1:6" ht="34.5" customHeight="1">
      <c r="A636" s="9">
        <v>634</v>
      </c>
      <c r="B636" s="10" t="str">
        <f>"544920230704103619101197"</f>
        <v>544920230704103619101197</v>
      </c>
      <c r="C636" s="10" t="s">
        <v>8</v>
      </c>
      <c r="D636" s="10" t="str">
        <f>"江乔木"</f>
        <v>江乔木</v>
      </c>
      <c r="E636" s="10" t="str">
        <f t="shared" si="23"/>
        <v>女</v>
      </c>
      <c r="F636" s="10"/>
    </row>
    <row r="637" spans="1:6" ht="34.5" customHeight="1">
      <c r="A637" s="9">
        <v>635</v>
      </c>
      <c r="B637" s="10" t="str">
        <f>"544920230704102603101122"</f>
        <v>544920230704102603101122</v>
      </c>
      <c r="C637" s="10" t="s">
        <v>8</v>
      </c>
      <c r="D637" s="10" t="str">
        <f>"谭锐"</f>
        <v>谭锐</v>
      </c>
      <c r="E637" s="10" t="str">
        <f t="shared" si="23"/>
        <v>女</v>
      </c>
      <c r="F637" s="10"/>
    </row>
    <row r="638" spans="1:6" ht="34.5" customHeight="1">
      <c r="A638" s="9">
        <v>636</v>
      </c>
      <c r="B638" s="10" t="str">
        <f>"544920230704103156101169"</f>
        <v>544920230704103156101169</v>
      </c>
      <c r="C638" s="10" t="s">
        <v>8</v>
      </c>
      <c r="D638" s="10" t="str">
        <f>"欧洋莹"</f>
        <v>欧洋莹</v>
      </c>
      <c r="E638" s="10" t="str">
        <f t="shared" si="23"/>
        <v>女</v>
      </c>
      <c r="F638" s="10"/>
    </row>
    <row r="639" spans="1:6" ht="34.5" customHeight="1">
      <c r="A639" s="9">
        <v>637</v>
      </c>
      <c r="B639" s="10" t="str">
        <f>"544920230704101930101062"</f>
        <v>544920230704101930101062</v>
      </c>
      <c r="C639" s="10" t="s">
        <v>8</v>
      </c>
      <c r="D639" s="10" t="str">
        <f>"符坤丹"</f>
        <v>符坤丹</v>
      </c>
      <c r="E639" s="10" t="str">
        <f t="shared" si="23"/>
        <v>女</v>
      </c>
      <c r="F639" s="10"/>
    </row>
    <row r="640" spans="1:6" ht="34.5" customHeight="1">
      <c r="A640" s="9">
        <v>638</v>
      </c>
      <c r="B640" s="10" t="str">
        <f>"54492023070216121494039"</f>
        <v>54492023070216121494039</v>
      </c>
      <c r="C640" s="10" t="s">
        <v>8</v>
      </c>
      <c r="D640" s="10" t="str">
        <f>"吴家和"</f>
        <v>吴家和</v>
      </c>
      <c r="E640" s="10" t="str">
        <f t="shared" si="23"/>
        <v>女</v>
      </c>
      <c r="F640" s="10"/>
    </row>
    <row r="641" spans="1:6" ht="34.5" customHeight="1">
      <c r="A641" s="9">
        <v>639</v>
      </c>
      <c r="B641" s="10" t="str">
        <f>"544920230704094654100951"</f>
        <v>544920230704094654100951</v>
      </c>
      <c r="C641" s="10" t="s">
        <v>8</v>
      </c>
      <c r="D641" s="10" t="str">
        <f>"曹翠萍"</f>
        <v>曹翠萍</v>
      </c>
      <c r="E641" s="10" t="str">
        <f t="shared" si="23"/>
        <v>女</v>
      </c>
      <c r="F641" s="10"/>
    </row>
    <row r="642" spans="1:6" ht="34.5" customHeight="1">
      <c r="A642" s="9">
        <v>640</v>
      </c>
      <c r="B642" s="10" t="str">
        <f>"54492023070315181697903"</f>
        <v>54492023070315181697903</v>
      </c>
      <c r="C642" s="10" t="s">
        <v>8</v>
      </c>
      <c r="D642" s="10" t="str">
        <f>"刘丽剑"</f>
        <v>刘丽剑</v>
      </c>
      <c r="E642" s="10" t="str">
        <f t="shared" si="23"/>
        <v>女</v>
      </c>
      <c r="F642" s="10"/>
    </row>
    <row r="643" spans="1:6" ht="34.5" customHeight="1">
      <c r="A643" s="9">
        <v>641</v>
      </c>
      <c r="B643" s="10" t="str">
        <f>"544920230703233453100218"</f>
        <v>544920230703233453100218</v>
      </c>
      <c r="C643" s="10" t="s">
        <v>8</v>
      </c>
      <c r="D643" s="10" t="str">
        <f>"冯文蔚"</f>
        <v>冯文蔚</v>
      </c>
      <c r="E643" s="10" t="str">
        <f t="shared" si="23"/>
        <v>女</v>
      </c>
      <c r="F643" s="10"/>
    </row>
    <row r="644" spans="1:6" ht="34.5" customHeight="1">
      <c r="A644" s="9">
        <v>642</v>
      </c>
      <c r="B644" s="10" t="str">
        <f>"54492023070314504297728"</f>
        <v>54492023070314504297728</v>
      </c>
      <c r="C644" s="10" t="s">
        <v>8</v>
      </c>
      <c r="D644" s="10" t="str">
        <f>"汤琦"</f>
        <v>汤琦</v>
      </c>
      <c r="E644" s="10" t="str">
        <f t="shared" si="23"/>
        <v>女</v>
      </c>
      <c r="F644" s="10"/>
    </row>
    <row r="645" spans="1:6" ht="34.5" customHeight="1">
      <c r="A645" s="9">
        <v>643</v>
      </c>
      <c r="B645" s="10" t="str">
        <f>"544920230704112223101431"</f>
        <v>544920230704112223101431</v>
      </c>
      <c r="C645" s="10" t="s">
        <v>8</v>
      </c>
      <c r="D645" s="10" t="str">
        <f>"陈梅丽"</f>
        <v>陈梅丽</v>
      </c>
      <c r="E645" s="10" t="str">
        <f t="shared" si="23"/>
        <v>女</v>
      </c>
      <c r="F645" s="10"/>
    </row>
    <row r="646" spans="1:6" ht="34.5" customHeight="1">
      <c r="A646" s="9">
        <v>644</v>
      </c>
      <c r="B646" s="10" t="str">
        <f>"54492023070308585595426"</f>
        <v>54492023070308585595426</v>
      </c>
      <c r="C646" s="10" t="s">
        <v>8</v>
      </c>
      <c r="D646" s="10" t="str">
        <f>"王多兴"</f>
        <v>王多兴</v>
      </c>
      <c r="E646" s="10" t="str">
        <f>"男"</f>
        <v>男</v>
      </c>
      <c r="F646" s="10"/>
    </row>
    <row r="647" spans="1:6" ht="34.5" customHeight="1">
      <c r="A647" s="9">
        <v>645</v>
      </c>
      <c r="B647" s="10" t="str">
        <f>"544920230704121410101636"</f>
        <v>544920230704121410101636</v>
      </c>
      <c r="C647" s="10" t="s">
        <v>8</v>
      </c>
      <c r="D647" s="10" t="str">
        <f>"翁宏富"</f>
        <v>翁宏富</v>
      </c>
      <c r="E647" s="10" t="str">
        <f>"男"</f>
        <v>男</v>
      </c>
      <c r="F647" s="10"/>
    </row>
    <row r="648" spans="1:6" ht="34.5" customHeight="1">
      <c r="A648" s="9">
        <v>646</v>
      </c>
      <c r="B648" s="10" t="str">
        <f>"544920230704123057101681"</f>
        <v>544920230704123057101681</v>
      </c>
      <c r="C648" s="10" t="s">
        <v>8</v>
      </c>
      <c r="D648" s="10" t="str">
        <f>"池慧婷"</f>
        <v>池慧婷</v>
      </c>
      <c r="E648" s="10" t="str">
        <f>"女"</f>
        <v>女</v>
      </c>
      <c r="F648" s="10"/>
    </row>
    <row r="649" spans="1:6" ht="34.5" customHeight="1">
      <c r="A649" s="9">
        <v>647</v>
      </c>
      <c r="B649" s="10" t="str">
        <f>"544920230704124634101726"</f>
        <v>544920230704124634101726</v>
      </c>
      <c r="C649" s="10" t="s">
        <v>8</v>
      </c>
      <c r="D649" s="10" t="str">
        <f>"何政"</f>
        <v>何政</v>
      </c>
      <c r="E649" s="10" t="str">
        <f>"女"</f>
        <v>女</v>
      </c>
      <c r="F649" s="10"/>
    </row>
    <row r="650" spans="1:6" ht="34.5" customHeight="1">
      <c r="A650" s="9">
        <v>648</v>
      </c>
      <c r="B650" s="10" t="str">
        <f>"54492023070322082199884"</f>
        <v>54492023070322082199884</v>
      </c>
      <c r="C650" s="10" t="s">
        <v>8</v>
      </c>
      <c r="D650" s="10" t="str">
        <f>"符宏林"</f>
        <v>符宏林</v>
      </c>
      <c r="E650" s="10" t="str">
        <f>"男"</f>
        <v>男</v>
      </c>
      <c r="F650" s="10"/>
    </row>
    <row r="651" spans="1:6" ht="34.5" customHeight="1">
      <c r="A651" s="9">
        <v>649</v>
      </c>
      <c r="B651" s="10" t="str">
        <f>"54492023070215485193978"</f>
        <v>54492023070215485193978</v>
      </c>
      <c r="C651" s="10" t="s">
        <v>8</v>
      </c>
      <c r="D651" s="10" t="str">
        <f>"吴美香"</f>
        <v>吴美香</v>
      </c>
      <c r="E651" s="10" t="str">
        <f aca="true" t="shared" si="24" ref="E651:E657">"女"</f>
        <v>女</v>
      </c>
      <c r="F651" s="10"/>
    </row>
    <row r="652" spans="1:6" ht="34.5" customHeight="1">
      <c r="A652" s="9">
        <v>650</v>
      </c>
      <c r="B652" s="10" t="str">
        <f>"544920230704131908101797"</f>
        <v>544920230704131908101797</v>
      </c>
      <c r="C652" s="10" t="s">
        <v>8</v>
      </c>
      <c r="D652" s="10" t="str">
        <f>"杨小叶"</f>
        <v>杨小叶</v>
      </c>
      <c r="E652" s="10" t="str">
        <f t="shared" si="24"/>
        <v>女</v>
      </c>
      <c r="F652" s="10"/>
    </row>
    <row r="653" spans="1:6" ht="34.5" customHeight="1">
      <c r="A653" s="9">
        <v>651</v>
      </c>
      <c r="B653" s="10" t="str">
        <f>"544920230703231038100141"</f>
        <v>544920230703231038100141</v>
      </c>
      <c r="C653" s="10" t="s">
        <v>8</v>
      </c>
      <c r="D653" s="10" t="str">
        <f>"林仕泉"</f>
        <v>林仕泉</v>
      </c>
      <c r="E653" s="10" t="str">
        <f t="shared" si="24"/>
        <v>女</v>
      </c>
      <c r="F653" s="10"/>
    </row>
    <row r="654" spans="1:6" ht="34.5" customHeight="1">
      <c r="A654" s="9">
        <v>652</v>
      </c>
      <c r="B654" s="10" t="str">
        <f>"544920230704133858101838"</f>
        <v>544920230704133858101838</v>
      </c>
      <c r="C654" s="10" t="s">
        <v>8</v>
      </c>
      <c r="D654" s="10" t="str">
        <f>"黄方"</f>
        <v>黄方</v>
      </c>
      <c r="E654" s="10" t="str">
        <f t="shared" si="24"/>
        <v>女</v>
      </c>
      <c r="F654" s="10"/>
    </row>
    <row r="655" spans="1:6" ht="34.5" customHeight="1">
      <c r="A655" s="9">
        <v>653</v>
      </c>
      <c r="B655" s="10" t="str">
        <f>"54492023070313553497506"</f>
        <v>54492023070313553497506</v>
      </c>
      <c r="C655" s="10" t="s">
        <v>8</v>
      </c>
      <c r="D655" s="10" t="str">
        <f>"梁慧丹"</f>
        <v>梁慧丹</v>
      </c>
      <c r="E655" s="10" t="str">
        <f t="shared" si="24"/>
        <v>女</v>
      </c>
      <c r="F655" s="10"/>
    </row>
    <row r="656" spans="1:6" ht="34.5" customHeight="1">
      <c r="A656" s="9">
        <v>654</v>
      </c>
      <c r="B656" s="10" t="str">
        <f>"544920230704143835101966"</f>
        <v>544920230704143835101966</v>
      </c>
      <c r="C656" s="10" t="s">
        <v>8</v>
      </c>
      <c r="D656" s="10" t="str">
        <f>"邓景元"</f>
        <v>邓景元</v>
      </c>
      <c r="E656" s="10" t="str">
        <f t="shared" si="24"/>
        <v>女</v>
      </c>
      <c r="F656" s="10"/>
    </row>
    <row r="657" spans="1:6" ht="34.5" customHeight="1">
      <c r="A657" s="9">
        <v>655</v>
      </c>
      <c r="B657" s="10" t="str">
        <f>"544920230704145729102022"</f>
        <v>544920230704145729102022</v>
      </c>
      <c r="C657" s="10" t="s">
        <v>8</v>
      </c>
      <c r="D657" s="10" t="str">
        <f>"符小燕"</f>
        <v>符小燕</v>
      </c>
      <c r="E657" s="10" t="str">
        <f t="shared" si="24"/>
        <v>女</v>
      </c>
      <c r="F657" s="10"/>
    </row>
    <row r="658" spans="1:6" ht="34.5" customHeight="1">
      <c r="A658" s="9">
        <v>656</v>
      </c>
      <c r="B658" s="10" t="str">
        <f>"544920230704151304102089"</f>
        <v>544920230704151304102089</v>
      </c>
      <c r="C658" s="10" t="s">
        <v>8</v>
      </c>
      <c r="D658" s="10" t="str">
        <f>"林道才"</f>
        <v>林道才</v>
      </c>
      <c r="E658" s="10" t="str">
        <f>"男"</f>
        <v>男</v>
      </c>
      <c r="F658" s="10"/>
    </row>
    <row r="659" spans="1:6" ht="34.5" customHeight="1">
      <c r="A659" s="9">
        <v>657</v>
      </c>
      <c r="B659" s="10" t="str">
        <f>"544920230704152655102139"</f>
        <v>544920230704152655102139</v>
      </c>
      <c r="C659" s="10" t="s">
        <v>8</v>
      </c>
      <c r="D659" s="10" t="str">
        <f>"唐青霞"</f>
        <v>唐青霞</v>
      </c>
      <c r="E659" s="10" t="str">
        <f aca="true" t="shared" si="25" ref="E659:E692">"女"</f>
        <v>女</v>
      </c>
      <c r="F659" s="10"/>
    </row>
    <row r="660" spans="1:6" ht="34.5" customHeight="1">
      <c r="A660" s="9">
        <v>658</v>
      </c>
      <c r="B660" s="10" t="str">
        <f>"544920230704153843102175"</f>
        <v>544920230704153843102175</v>
      </c>
      <c r="C660" s="10" t="s">
        <v>8</v>
      </c>
      <c r="D660" s="10" t="str">
        <f>"许秀靖"</f>
        <v>许秀靖</v>
      </c>
      <c r="E660" s="10" t="str">
        <f t="shared" si="25"/>
        <v>女</v>
      </c>
      <c r="F660" s="10"/>
    </row>
    <row r="661" spans="1:6" ht="34.5" customHeight="1">
      <c r="A661" s="9">
        <v>659</v>
      </c>
      <c r="B661" s="10" t="str">
        <f>"544920230704154317102194"</f>
        <v>544920230704154317102194</v>
      </c>
      <c r="C661" s="10" t="s">
        <v>8</v>
      </c>
      <c r="D661" s="10" t="str">
        <f>"王秀丽"</f>
        <v>王秀丽</v>
      </c>
      <c r="E661" s="10" t="str">
        <f t="shared" si="25"/>
        <v>女</v>
      </c>
      <c r="F661" s="10"/>
    </row>
    <row r="662" spans="1:6" ht="34.5" customHeight="1">
      <c r="A662" s="9">
        <v>660</v>
      </c>
      <c r="B662" s="10" t="str">
        <f>"544920230704135441101863"</f>
        <v>544920230704135441101863</v>
      </c>
      <c r="C662" s="10" t="s">
        <v>8</v>
      </c>
      <c r="D662" s="10" t="str">
        <f>"李佩莲"</f>
        <v>李佩莲</v>
      </c>
      <c r="E662" s="10" t="str">
        <f t="shared" si="25"/>
        <v>女</v>
      </c>
      <c r="F662" s="10"/>
    </row>
    <row r="663" spans="1:6" ht="34.5" customHeight="1">
      <c r="A663" s="9">
        <v>661</v>
      </c>
      <c r="B663" s="10" t="str">
        <f>"54492023070315572698161"</f>
        <v>54492023070315572698161</v>
      </c>
      <c r="C663" s="10" t="s">
        <v>8</v>
      </c>
      <c r="D663" s="10" t="str">
        <f>"黄晓琪"</f>
        <v>黄晓琪</v>
      </c>
      <c r="E663" s="10" t="str">
        <f t="shared" si="25"/>
        <v>女</v>
      </c>
      <c r="F663" s="10"/>
    </row>
    <row r="664" spans="1:6" ht="34.5" customHeight="1">
      <c r="A664" s="9">
        <v>662</v>
      </c>
      <c r="B664" s="10" t="str">
        <f>"54492023070216585094165"</f>
        <v>54492023070216585094165</v>
      </c>
      <c r="C664" s="10" t="s">
        <v>8</v>
      </c>
      <c r="D664" s="10" t="str">
        <f>"柳美娟"</f>
        <v>柳美娟</v>
      </c>
      <c r="E664" s="10" t="str">
        <f t="shared" si="25"/>
        <v>女</v>
      </c>
      <c r="F664" s="10"/>
    </row>
    <row r="665" spans="1:6" ht="34.5" customHeight="1">
      <c r="A665" s="9">
        <v>663</v>
      </c>
      <c r="B665" s="10" t="str">
        <f>"544920230704155636102243"</f>
        <v>544920230704155636102243</v>
      </c>
      <c r="C665" s="10" t="s">
        <v>8</v>
      </c>
      <c r="D665" s="10" t="str">
        <f>"刘小健"</f>
        <v>刘小健</v>
      </c>
      <c r="E665" s="10" t="str">
        <f t="shared" si="25"/>
        <v>女</v>
      </c>
      <c r="F665" s="10"/>
    </row>
    <row r="666" spans="1:6" ht="34.5" customHeight="1">
      <c r="A666" s="9">
        <v>664</v>
      </c>
      <c r="B666" s="10" t="str">
        <f>"544920230704154655102201"</f>
        <v>544920230704154655102201</v>
      </c>
      <c r="C666" s="10" t="s">
        <v>8</v>
      </c>
      <c r="D666" s="10" t="str">
        <f>"黄文春"</f>
        <v>黄文春</v>
      </c>
      <c r="E666" s="10" t="str">
        <f t="shared" si="25"/>
        <v>女</v>
      </c>
      <c r="F666" s="10"/>
    </row>
    <row r="667" spans="1:6" ht="34.5" customHeight="1">
      <c r="A667" s="9">
        <v>665</v>
      </c>
      <c r="B667" s="10" t="str">
        <f>"544920230704164731102398"</f>
        <v>544920230704164731102398</v>
      </c>
      <c r="C667" s="10" t="s">
        <v>8</v>
      </c>
      <c r="D667" s="10" t="str">
        <f>"陈家钰"</f>
        <v>陈家钰</v>
      </c>
      <c r="E667" s="10" t="str">
        <f t="shared" si="25"/>
        <v>女</v>
      </c>
      <c r="F667" s="10"/>
    </row>
    <row r="668" spans="1:6" ht="34.5" customHeight="1">
      <c r="A668" s="9">
        <v>666</v>
      </c>
      <c r="B668" s="10" t="str">
        <f>"54492023070315184597906"</f>
        <v>54492023070315184597906</v>
      </c>
      <c r="C668" s="10" t="s">
        <v>8</v>
      </c>
      <c r="D668" s="10" t="str">
        <f>"翁鳗莉"</f>
        <v>翁鳗莉</v>
      </c>
      <c r="E668" s="10" t="str">
        <f t="shared" si="25"/>
        <v>女</v>
      </c>
      <c r="F668" s="10"/>
    </row>
    <row r="669" spans="1:6" ht="34.5" customHeight="1">
      <c r="A669" s="9">
        <v>667</v>
      </c>
      <c r="B669" s="10" t="str">
        <f>"544920230704171253102486"</f>
        <v>544920230704171253102486</v>
      </c>
      <c r="C669" s="10" t="s">
        <v>8</v>
      </c>
      <c r="D669" s="10" t="str">
        <f>"曾慧攀"</f>
        <v>曾慧攀</v>
      </c>
      <c r="E669" s="10" t="str">
        <f t="shared" si="25"/>
        <v>女</v>
      </c>
      <c r="F669" s="10"/>
    </row>
    <row r="670" spans="1:6" ht="34.5" customHeight="1">
      <c r="A670" s="9">
        <v>668</v>
      </c>
      <c r="B670" s="10" t="str">
        <f>"544920230704171302102488"</f>
        <v>544920230704171302102488</v>
      </c>
      <c r="C670" s="10" t="s">
        <v>8</v>
      </c>
      <c r="D670" s="10" t="str">
        <f>"蔡怡欣"</f>
        <v>蔡怡欣</v>
      </c>
      <c r="E670" s="10" t="str">
        <f t="shared" si="25"/>
        <v>女</v>
      </c>
      <c r="F670" s="10"/>
    </row>
    <row r="671" spans="1:6" ht="34.5" customHeight="1">
      <c r="A671" s="9">
        <v>669</v>
      </c>
      <c r="B671" s="10" t="str">
        <f>"544920230704172100102516"</f>
        <v>544920230704172100102516</v>
      </c>
      <c r="C671" s="10" t="s">
        <v>8</v>
      </c>
      <c r="D671" s="10" t="str">
        <f>"王开香"</f>
        <v>王开香</v>
      </c>
      <c r="E671" s="10" t="str">
        <f t="shared" si="25"/>
        <v>女</v>
      </c>
      <c r="F671" s="10"/>
    </row>
    <row r="672" spans="1:6" ht="34.5" customHeight="1">
      <c r="A672" s="9">
        <v>670</v>
      </c>
      <c r="B672" s="10" t="str">
        <f>"544920230704171338102490"</f>
        <v>544920230704171338102490</v>
      </c>
      <c r="C672" s="10" t="s">
        <v>8</v>
      </c>
      <c r="D672" s="10" t="str">
        <f>"罗情"</f>
        <v>罗情</v>
      </c>
      <c r="E672" s="10" t="str">
        <f t="shared" si="25"/>
        <v>女</v>
      </c>
      <c r="F672" s="10"/>
    </row>
    <row r="673" spans="1:6" ht="34.5" customHeight="1">
      <c r="A673" s="9">
        <v>671</v>
      </c>
      <c r="B673" s="10" t="str">
        <f>"544920230704180218102624"</f>
        <v>544920230704180218102624</v>
      </c>
      <c r="C673" s="10" t="s">
        <v>8</v>
      </c>
      <c r="D673" s="10" t="str">
        <f>"张雯昕"</f>
        <v>张雯昕</v>
      </c>
      <c r="E673" s="10" t="str">
        <f t="shared" si="25"/>
        <v>女</v>
      </c>
      <c r="F673" s="10"/>
    </row>
    <row r="674" spans="1:6" ht="34.5" customHeight="1">
      <c r="A674" s="9">
        <v>672</v>
      </c>
      <c r="B674" s="10" t="str">
        <f>"544920230704183127102701"</f>
        <v>544920230704183127102701</v>
      </c>
      <c r="C674" s="10" t="s">
        <v>8</v>
      </c>
      <c r="D674" s="10" t="str">
        <f>"王伟"</f>
        <v>王伟</v>
      </c>
      <c r="E674" s="10" t="str">
        <f t="shared" si="25"/>
        <v>女</v>
      </c>
      <c r="F674" s="10"/>
    </row>
    <row r="675" spans="1:6" ht="34.5" customHeight="1">
      <c r="A675" s="9">
        <v>673</v>
      </c>
      <c r="B675" s="10" t="str">
        <f>"544920230704103601101196"</f>
        <v>544920230704103601101196</v>
      </c>
      <c r="C675" s="10" t="s">
        <v>8</v>
      </c>
      <c r="D675" s="10" t="str">
        <f>"张颖"</f>
        <v>张颖</v>
      </c>
      <c r="E675" s="10" t="str">
        <f t="shared" si="25"/>
        <v>女</v>
      </c>
      <c r="F675" s="10"/>
    </row>
    <row r="676" spans="1:6" ht="34.5" customHeight="1">
      <c r="A676" s="9">
        <v>674</v>
      </c>
      <c r="B676" s="10" t="str">
        <f>"544920230704195517102895"</f>
        <v>544920230704195517102895</v>
      </c>
      <c r="C676" s="10" t="s">
        <v>8</v>
      </c>
      <c r="D676" s="10" t="str">
        <f>"周和"</f>
        <v>周和</v>
      </c>
      <c r="E676" s="10" t="str">
        <f t="shared" si="25"/>
        <v>女</v>
      </c>
      <c r="F676" s="10"/>
    </row>
    <row r="677" spans="1:6" ht="34.5" customHeight="1">
      <c r="A677" s="9">
        <v>675</v>
      </c>
      <c r="B677" s="10" t="str">
        <f>"544920230704194945102883"</f>
        <v>544920230704194945102883</v>
      </c>
      <c r="C677" s="10" t="s">
        <v>8</v>
      </c>
      <c r="D677" s="10" t="str">
        <f>"林瑛"</f>
        <v>林瑛</v>
      </c>
      <c r="E677" s="10" t="str">
        <f t="shared" si="25"/>
        <v>女</v>
      </c>
      <c r="F677" s="10"/>
    </row>
    <row r="678" spans="1:6" ht="34.5" customHeight="1">
      <c r="A678" s="9">
        <v>676</v>
      </c>
      <c r="B678" s="10" t="str">
        <f>"544920230704155539102239"</f>
        <v>544920230704155539102239</v>
      </c>
      <c r="C678" s="10" t="s">
        <v>8</v>
      </c>
      <c r="D678" s="10" t="str">
        <f>"陈思捷"</f>
        <v>陈思捷</v>
      </c>
      <c r="E678" s="10" t="str">
        <f t="shared" si="25"/>
        <v>女</v>
      </c>
      <c r="F678" s="10"/>
    </row>
    <row r="679" spans="1:6" ht="34.5" customHeight="1">
      <c r="A679" s="9">
        <v>677</v>
      </c>
      <c r="B679" s="10" t="str">
        <f>"544920230704201548102940"</f>
        <v>544920230704201548102940</v>
      </c>
      <c r="C679" s="10" t="s">
        <v>8</v>
      </c>
      <c r="D679" s="10" t="str">
        <f>"刘琼花"</f>
        <v>刘琼花</v>
      </c>
      <c r="E679" s="10" t="str">
        <f t="shared" si="25"/>
        <v>女</v>
      </c>
      <c r="F679" s="10"/>
    </row>
    <row r="680" spans="1:6" ht="34.5" customHeight="1">
      <c r="A680" s="9">
        <v>678</v>
      </c>
      <c r="B680" s="10" t="str">
        <f>"544920230704153339102154"</f>
        <v>544920230704153339102154</v>
      </c>
      <c r="C680" s="10" t="s">
        <v>8</v>
      </c>
      <c r="D680" s="10" t="str">
        <f>"李秀媚"</f>
        <v>李秀媚</v>
      </c>
      <c r="E680" s="10" t="str">
        <f t="shared" si="25"/>
        <v>女</v>
      </c>
      <c r="F680" s="10"/>
    </row>
    <row r="681" spans="1:6" ht="34.5" customHeight="1">
      <c r="A681" s="9">
        <v>679</v>
      </c>
      <c r="B681" s="10" t="str">
        <f>"544920230704183908102724"</f>
        <v>544920230704183908102724</v>
      </c>
      <c r="C681" s="10" t="s">
        <v>8</v>
      </c>
      <c r="D681" s="10" t="str">
        <f>"胡肖颜"</f>
        <v>胡肖颜</v>
      </c>
      <c r="E681" s="10" t="str">
        <f t="shared" si="25"/>
        <v>女</v>
      </c>
      <c r="F681" s="10"/>
    </row>
    <row r="682" spans="1:6" ht="34.5" customHeight="1">
      <c r="A682" s="9">
        <v>680</v>
      </c>
      <c r="B682" s="10" t="str">
        <f>"544920230704205449103038"</f>
        <v>544920230704205449103038</v>
      </c>
      <c r="C682" s="10" t="s">
        <v>8</v>
      </c>
      <c r="D682" s="10" t="str">
        <f>"王少玮"</f>
        <v>王少玮</v>
      </c>
      <c r="E682" s="10" t="str">
        <f t="shared" si="25"/>
        <v>女</v>
      </c>
      <c r="F682" s="10"/>
    </row>
    <row r="683" spans="1:6" ht="34.5" customHeight="1">
      <c r="A683" s="9">
        <v>681</v>
      </c>
      <c r="B683" s="10" t="str">
        <f>"544920230704205019103029"</f>
        <v>544920230704205019103029</v>
      </c>
      <c r="C683" s="10" t="s">
        <v>8</v>
      </c>
      <c r="D683" s="10" t="str">
        <f>"李冬珏"</f>
        <v>李冬珏</v>
      </c>
      <c r="E683" s="10" t="str">
        <f t="shared" si="25"/>
        <v>女</v>
      </c>
      <c r="F683" s="10"/>
    </row>
    <row r="684" spans="1:6" ht="34.5" customHeight="1">
      <c r="A684" s="9">
        <v>682</v>
      </c>
      <c r="B684" s="10" t="str">
        <f>"544920230704205602103042"</f>
        <v>544920230704205602103042</v>
      </c>
      <c r="C684" s="10" t="s">
        <v>8</v>
      </c>
      <c r="D684" s="10" t="str">
        <f>"林秋焕"</f>
        <v>林秋焕</v>
      </c>
      <c r="E684" s="10" t="str">
        <f t="shared" si="25"/>
        <v>女</v>
      </c>
      <c r="F684" s="10"/>
    </row>
    <row r="685" spans="1:6" ht="34.5" customHeight="1">
      <c r="A685" s="9">
        <v>683</v>
      </c>
      <c r="B685" s="10" t="str">
        <f>"544920230704211156103081"</f>
        <v>544920230704211156103081</v>
      </c>
      <c r="C685" s="10" t="s">
        <v>8</v>
      </c>
      <c r="D685" s="10" t="str">
        <f>"边锐"</f>
        <v>边锐</v>
      </c>
      <c r="E685" s="10" t="str">
        <f t="shared" si="25"/>
        <v>女</v>
      </c>
      <c r="F685" s="10"/>
    </row>
    <row r="686" spans="1:6" ht="34.5" customHeight="1">
      <c r="A686" s="9">
        <v>684</v>
      </c>
      <c r="B686" s="10" t="str">
        <f>"544920230704204906103025"</f>
        <v>544920230704204906103025</v>
      </c>
      <c r="C686" s="10" t="s">
        <v>8</v>
      </c>
      <c r="D686" s="10" t="str">
        <f>"陈怡芳"</f>
        <v>陈怡芳</v>
      </c>
      <c r="E686" s="10" t="str">
        <f t="shared" si="25"/>
        <v>女</v>
      </c>
      <c r="F686" s="10"/>
    </row>
    <row r="687" spans="1:6" ht="34.5" customHeight="1">
      <c r="A687" s="9">
        <v>685</v>
      </c>
      <c r="B687" s="10" t="str">
        <f>"544920230704215456103200"</f>
        <v>544920230704215456103200</v>
      </c>
      <c r="C687" s="10" t="s">
        <v>8</v>
      </c>
      <c r="D687" s="10" t="str">
        <f>"黄日春"</f>
        <v>黄日春</v>
      </c>
      <c r="E687" s="10" t="str">
        <f t="shared" si="25"/>
        <v>女</v>
      </c>
      <c r="F687" s="10"/>
    </row>
    <row r="688" spans="1:6" ht="34.5" customHeight="1">
      <c r="A688" s="9">
        <v>686</v>
      </c>
      <c r="B688" s="10" t="str">
        <f>"544920230704222338103274"</f>
        <v>544920230704222338103274</v>
      </c>
      <c r="C688" s="10" t="s">
        <v>8</v>
      </c>
      <c r="D688" s="10" t="str">
        <f>"王映净"</f>
        <v>王映净</v>
      </c>
      <c r="E688" s="10" t="str">
        <f t="shared" si="25"/>
        <v>女</v>
      </c>
      <c r="F688" s="10"/>
    </row>
    <row r="689" spans="1:6" ht="34.5" customHeight="1">
      <c r="A689" s="9">
        <v>687</v>
      </c>
      <c r="B689" s="10" t="str">
        <f>"544920230703232232100175"</f>
        <v>544920230703232232100175</v>
      </c>
      <c r="C689" s="10" t="s">
        <v>8</v>
      </c>
      <c r="D689" s="10" t="str">
        <f>"陈芳玉"</f>
        <v>陈芳玉</v>
      </c>
      <c r="E689" s="10" t="str">
        <f t="shared" si="25"/>
        <v>女</v>
      </c>
      <c r="F689" s="10"/>
    </row>
    <row r="690" spans="1:6" ht="34.5" customHeight="1">
      <c r="A690" s="9">
        <v>688</v>
      </c>
      <c r="B690" s="10" t="str">
        <f>"544920230704234802103440"</f>
        <v>544920230704234802103440</v>
      </c>
      <c r="C690" s="10" t="s">
        <v>8</v>
      </c>
      <c r="D690" s="10" t="str">
        <f>"谢紫婵"</f>
        <v>谢紫婵</v>
      </c>
      <c r="E690" s="10" t="str">
        <f t="shared" si="25"/>
        <v>女</v>
      </c>
      <c r="F690" s="10"/>
    </row>
    <row r="691" spans="1:6" ht="34.5" customHeight="1">
      <c r="A691" s="9">
        <v>689</v>
      </c>
      <c r="B691" s="10" t="str">
        <f>"544920230705004911103526"</f>
        <v>544920230705004911103526</v>
      </c>
      <c r="C691" s="10" t="s">
        <v>8</v>
      </c>
      <c r="D691" s="10" t="str">
        <f>"符诗雅"</f>
        <v>符诗雅</v>
      </c>
      <c r="E691" s="10" t="str">
        <f t="shared" si="25"/>
        <v>女</v>
      </c>
      <c r="F691" s="10"/>
    </row>
    <row r="692" spans="1:6" ht="34.5" customHeight="1">
      <c r="A692" s="9">
        <v>690</v>
      </c>
      <c r="B692" s="10" t="str">
        <f>"544920230703234216100240"</f>
        <v>544920230703234216100240</v>
      </c>
      <c r="C692" s="10" t="s">
        <v>8</v>
      </c>
      <c r="D692" s="10" t="str">
        <f>"符海念"</f>
        <v>符海念</v>
      </c>
      <c r="E692" s="10" t="str">
        <f t="shared" si="25"/>
        <v>女</v>
      </c>
      <c r="F692" s="10"/>
    </row>
    <row r="693" spans="1:6" ht="34.5" customHeight="1">
      <c r="A693" s="9">
        <v>691</v>
      </c>
      <c r="B693" s="10" t="str">
        <f>"54492023070219333394474"</f>
        <v>54492023070219333394474</v>
      </c>
      <c r="C693" s="10" t="s">
        <v>8</v>
      </c>
      <c r="D693" s="10" t="str">
        <f>"何家诗"</f>
        <v>何家诗</v>
      </c>
      <c r="E693" s="10" t="str">
        <f>"男"</f>
        <v>男</v>
      </c>
      <c r="F693" s="10"/>
    </row>
    <row r="694" spans="1:6" ht="34.5" customHeight="1">
      <c r="A694" s="9">
        <v>692</v>
      </c>
      <c r="B694" s="10" t="str">
        <f>"54492023070213131593612"</f>
        <v>54492023070213131593612</v>
      </c>
      <c r="C694" s="10" t="s">
        <v>8</v>
      </c>
      <c r="D694" s="10" t="str">
        <f>"邓敏"</f>
        <v>邓敏</v>
      </c>
      <c r="E694" s="10" t="str">
        <f>"女"</f>
        <v>女</v>
      </c>
      <c r="F694" s="10"/>
    </row>
    <row r="695" spans="1:6" ht="34.5" customHeight="1">
      <c r="A695" s="9">
        <v>693</v>
      </c>
      <c r="B695" s="10" t="str">
        <f>"544920230705084848103721"</f>
        <v>544920230705084848103721</v>
      </c>
      <c r="C695" s="10" t="s">
        <v>8</v>
      </c>
      <c r="D695" s="10" t="str">
        <f>"王芳丽"</f>
        <v>王芳丽</v>
      </c>
      <c r="E695" s="10" t="str">
        <f>"女"</f>
        <v>女</v>
      </c>
      <c r="F695" s="10"/>
    </row>
    <row r="696" spans="1:6" ht="34.5" customHeight="1">
      <c r="A696" s="9">
        <v>694</v>
      </c>
      <c r="B696" s="10" t="str">
        <f>"544920230705084132103706"</f>
        <v>544920230705084132103706</v>
      </c>
      <c r="C696" s="10" t="s">
        <v>8</v>
      </c>
      <c r="D696" s="10" t="str">
        <f>"吴杰"</f>
        <v>吴杰</v>
      </c>
      <c r="E696" s="10" t="str">
        <f>"男"</f>
        <v>男</v>
      </c>
      <c r="F696" s="10"/>
    </row>
    <row r="697" spans="1:6" ht="34.5" customHeight="1">
      <c r="A697" s="9">
        <v>695</v>
      </c>
      <c r="B697" s="10" t="str">
        <f>"544920230705093828103913"</f>
        <v>544920230705093828103913</v>
      </c>
      <c r="C697" s="10" t="s">
        <v>8</v>
      </c>
      <c r="D697" s="10" t="str">
        <f>"文小玉"</f>
        <v>文小玉</v>
      </c>
      <c r="E697" s="10" t="str">
        <f aca="true" t="shared" si="26" ref="E697:E705">"女"</f>
        <v>女</v>
      </c>
      <c r="F697" s="10"/>
    </row>
    <row r="698" spans="1:6" ht="34.5" customHeight="1">
      <c r="A698" s="9">
        <v>696</v>
      </c>
      <c r="B698" s="10" t="str">
        <f>"544920230705085840103756"</f>
        <v>544920230705085840103756</v>
      </c>
      <c r="C698" s="10" t="s">
        <v>8</v>
      </c>
      <c r="D698" s="10" t="str">
        <f>"林福爽"</f>
        <v>林福爽</v>
      </c>
      <c r="E698" s="10" t="str">
        <f t="shared" si="26"/>
        <v>女</v>
      </c>
      <c r="F698" s="10"/>
    </row>
    <row r="699" spans="1:6" ht="34.5" customHeight="1">
      <c r="A699" s="9">
        <v>697</v>
      </c>
      <c r="B699" s="10" t="str">
        <f>"54492023070309451795920"</f>
        <v>54492023070309451795920</v>
      </c>
      <c r="C699" s="10" t="s">
        <v>8</v>
      </c>
      <c r="D699" s="10" t="str">
        <f>"汪玉婷"</f>
        <v>汪玉婷</v>
      </c>
      <c r="E699" s="10" t="str">
        <f t="shared" si="26"/>
        <v>女</v>
      </c>
      <c r="F699" s="10"/>
    </row>
    <row r="700" spans="1:6" ht="34.5" customHeight="1">
      <c r="A700" s="9">
        <v>698</v>
      </c>
      <c r="B700" s="10" t="str">
        <f>"544920230705095622103989"</f>
        <v>544920230705095622103989</v>
      </c>
      <c r="C700" s="10" t="s">
        <v>8</v>
      </c>
      <c r="D700" s="10" t="str">
        <f>"杨丽萍"</f>
        <v>杨丽萍</v>
      </c>
      <c r="E700" s="10" t="str">
        <f t="shared" si="26"/>
        <v>女</v>
      </c>
      <c r="F700" s="10"/>
    </row>
    <row r="701" spans="1:6" ht="34.5" customHeight="1">
      <c r="A701" s="9">
        <v>699</v>
      </c>
      <c r="B701" s="10" t="str">
        <f>"544920230705101328104067"</f>
        <v>544920230705101328104067</v>
      </c>
      <c r="C701" s="10" t="s">
        <v>8</v>
      </c>
      <c r="D701" s="10" t="str">
        <f>"董俊棉"</f>
        <v>董俊棉</v>
      </c>
      <c r="E701" s="10" t="str">
        <f t="shared" si="26"/>
        <v>女</v>
      </c>
      <c r="F701" s="10"/>
    </row>
    <row r="702" spans="1:6" ht="34.5" customHeight="1">
      <c r="A702" s="9">
        <v>700</v>
      </c>
      <c r="B702" s="10" t="str">
        <f>"544920230704155342102234"</f>
        <v>544920230704155342102234</v>
      </c>
      <c r="C702" s="10" t="s">
        <v>8</v>
      </c>
      <c r="D702" s="10" t="str">
        <f>"洪冬玲"</f>
        <v>洪冬玲</v>
      </c>
      <c r="E702" s="10" t="str">
        <f t="shared" si="26"/>
        <v>女</v>
      </c>
      <c r="F702" s="10"/>
    </row>
    <row r="703" spans="1:6" ht="34.5" customHeight="1">
      <c r="A703" s="9">
        <v>701</v>
      </c>
      <c r="B703" s="10" t="str">
        <f>"544920230705091930103836"</f>
        <v>544920230705091930103836</v>
      </c>
      <c r="C703" s="10" t="s">
        <v>8</v>
      </c>
      <c r="D703" s="10" t="str">
        <f>"邢四完"</f>
        <v>邢四完</v>
      </c>
      <c r="E703" s="10" t="str">
        <f t="shared" si="26"/>
        <v>女</v>
      </c>
      <c r="F703" s="10"/>
    </row>
    <row r="704" spans="1:6" ht="34.5" customHeight="1">
      <c r="A704" s="9">
        <v>702</v>
      </c>
      <c r="B704" s="10" t="str">
        <f>"544920230705093653103906"</f>
        <v>544920230705093653103906</v>
      </c>
      <c r="C704" s="10" t="s">
        <v>8</v>
      </c>
      <c r="D704" s="10" t="str">
        <f>"苏向婷"</f>
        <v>苏向婷</v>
      </c>
      <c r="E704" s="10" t="str">
        <f t="shared" si="26"/>
        <v>女</v>
      </c>
      <c r="F704" s="10"/>
    </row>
    <row r="705" spans="1:6" ht="34.5" customHeight="1">
      <c r="A705" s="9">
        <v>703</v>
      </c>
      <c r="B705" s="10" t="str">
        <f>"544920230705101705104088"</f>
        <v>544920230705101705104088</v>
      </c>
      <c r="C705" s="10" t="s">
        <v>8</v>
      </c>
      <c r="D705" s="10" t="str">
        <f>"翁海花"</f>
        <v>翁海花</v>
      </c>
      <c r="E705" s="10" t="str">
        <f t="shared" si="26"/>
        <v>女</v>
      </c>
      <c r="F705" s="10"/>
    </row>
    <row r="706" spans="1:6" ht="34.5" customHeight="1">
      <c r="A706" s="9">
        <v>704</v>
      </c>
      <c r="B706" s="10" t="str">
        <f>"544920230705111951104347"</f>
        <v>544920230705111951104347</v>
      </c>
      <c r="C706" s="10" t="s">
        <v>8</v>
      </c>
      <c r="D706" s="10" t="str">
        <f>"卢玉辉"</f>
        <v>卢玉辉</v>
      </c>
      <c r="E706" s="10" t="str">
        <f>"男"</f>
        <v>男</v>
      </c>
      <c r="F706" s="10"/>
    </row>
    <row r="707" spans="1:6" ht="34.5" customHeight="1">
      <c r="A707" s="9">
        <v>705</v>
      </c>
      <c r="B707" s="10" t="str">
        <f>"544920230705102349104113"</f>
        <v>544920230705102349104113</v>
      </c>
      <c r="C707" s="10" t="s">
        <v>8</v>
      </c>
      <c r="D707" s="10" t="str">
        <f>"黄洁"</f>
        <v>黄洁</v>
      </c>
      <c r="E707" s="10" t="str">
        <f aca="true" t="shared" si="27" ref="E707:E715">"女"</f>
        <v>女</v>
      </c>
      <c r="F707" s="10"/>
    </row>
    <row r="708" spans="1:6" ht="34.5" customHeight="1">
      <c r="A708" s="9">
        <v>706</v>
      </c>
      <c r="B708" s="10" t="str">
        <f>"544920230705125321104586"</f>
        <v>544920230705125321104586</v>
      </c>
      <c r="C708" s="10" t="s">
        <v>8</v>
      </c>
      <c r="D708" s="10" t="str">
        <f>"欧如妙"</f>
        <v>欧如妙</v>
      </c>
      <c r="E708" s="10" t="str">
        <f t="shared" si="27"/>
        <v>女</v>
      </c>
      <c r="F708" s="10"/>
    </row>
    <row r="709" spans="1:6" ht="34.5" customHeight="1">
      <c r="A709" s="9">
        <v>707</v>
      </c>
      <c r="B709" s="10" t="str">
        <f>"544920230705132605104653"</f>
        <v>544920230705132605104653</v>
      </c>
      <c r="C709" s="10" t="s">
        <v>8</v>
      </c>
      <c r="D709" s="10" t="str">
        <f>"陈海娟"</f>
        <v>陈海娟</v>
      </c>
      <c r="E709" s="10" t="str">
        <f t="shared" si="27"/>
        <v>女</v>
      </c>
      <c r="F709" s="10"/>
    </row>
    <row r="710" spans="1:6" ht="34.5" customHeight="1">
      <c r="A710" s="9">
        <v>708</v>
      </c>
      <c r="B710" s="10" t="str">
        <f>"54492023070209040092958"</f>
        <v>54492023070209040092958</v>
      </c>
      <c r="C710" s="10" t="s">
        <v>8</v>
      </c>
      <c r="D710" s="10" t="str">
        <f>"彭惠"</f>
        <v>彭惠</v>
      </c>
      <c r="E710" s="10" t="str">
        <f t="shared" si="27"/>
        <v>女</v>
      </c>
      <c r="F710" s="10"/>
    </row>
    <row r="711" spans="1:6" ht="34.5" customHeight="1">
      <c r="A711" s="9">
        <v>709</v>
      </c>
      <c r="B711" s="10" t="str">
        <f>"54492023070310062296103"</f>
        <v>54492023070310062296103</v>
      </c>
      <c r="C711" s="10" t="s">
        <v>8</v>
      </c>
      <c r="D711" s="10" t="str">
        <f>"谢立妹"</f>
        <v>谢立妹</v>
      </c>
      <c r="E711" s="10" t="str">
        <f t="shared" si="27"/>
        <v>女</v>
      </c>
      <c r="F711" s="10"/>
    </row>
    <row r="712" spans="1:6" ht="34.5" customHeight="1">
      <c r="A712" s="9">
        <v>710</v>
      </c>
      <c r="B712" s="10" t="str">
        <f>"544920230705152856104965"</f>
        <v>544920230705152856104965</v>
      </c>
      <c r="C712" s="10" t="s">
        <v>8</v>
      </c>
      <c r="D712" s="10" t="str">
        <f>"陈引姑"</f>
        <v>陈引姑</v>
      </c>
      <c r="E712" s="10" t="str">
        <f t="shared" si="27"/>
        <v>女</v>
      </c>
      <c r="F712" s="10"/>
    </row>
    <row r="713" spans="1:6" ht="34.5" customHeight="1">
      <c r="A713" s="9">
        <v>711</v>
      </c>
      <c r="B713" s="10" t="str">
        <f>"544920230705153741104992"</f>
        <v>544920230705153741104992</v>
      </c>
      <c r="C713" s="10" t="s">
        <v>8</v>
      </c>
      <c r="D713" s="10" t="str">
        <f>"谢焮焮"</f>
        <v>谢焮焮</v>
      </c>
      <c r="E713" s="10" t="str">
        <f t="shared" si="27"/>
        <v>女</v>
      </c>
      <c r="F713" s="10"/>
    </row>
    <row r="714" spans="1:6" ht="34.5" customHeight="1">
      <c r="A714" s="9">
        <v>712</v>
      </c>
      <c r="B714" s="10" t="str">
        <f>"544920230705154211105002"</f>
        <v>544920230705154211105002</v>
      </c>
      <c r="C714" s="10" t="s">
        <v>8</v>
      </c>
      <c r="D714" s="10" t="str">
        <f>"薛丽娜"</f>
        <v>薛丽娜</v>
      </c>
      <c r="E714" s="10" t="str">
        <f t="shared" si="27"/>
        <v>女</v>
      </c>
      <c r="F714" s="10"/>
    </row>
    <row r="715" spans="1:6" ht="34.5" customHeight="1">
      <c r="A715" s="9">
        <v>713</v>
      </c>
      <c r="B715" s="10" t="str">
        <f>"544920230705154836105021"</f>
        <v>544920230705154836105021</v>
      </c>
      <c r="C715" s="10" t="s">
        <v>8</v>
      </c>
      <c r="D715" s="10" t="str">
        <f>"林琳"</f>
        <v>林琳</v>
      </c>
      <c r="E715" s="10" t="str">
        <f t="shared" si="27"/>
        <v>女</v>
      </c>
      <c r="F715" s="10"/>
    </row>
    <row r="716" spans="1:6" ht="34.5" customHeight="1">
      <c r="A716" s="9">
        <v>714</v>
      </c>
      <c r="B716" s="10" t="str">
        <f>"544920230705142715104766"</f>
        <v>544920230705142715104766</v>
      </c>
      <c r="C716" s="10" t="s">
        <v>8</v>
      </c>
      <c r="D716" s="10" t="str">
        <f>"陈万石"</f>
        <v>陈万石</v>
      </c>
      <c r="E716" s="10" t="str">
        <f>"男"</f>
        <v>男</v>
      </c>
      <c r="F716" s="10"/>
    </row>
    <row r="717" spans="1:6" ht="34.5" customHeight="1">
      <c r="A717" s="9">
        <v>715</v>
      </c>
      <c r="B717" s="10" t="str">
        <f>"544920230705160950105085"</f>
        <v>544920230705160950105085</v>
      </c>
      <c r="C717" s="10" t="s">
        <v>8</v>
      </c>
      <c r="D717" s="10" t="str">
        <f>"符于婧"</f>
        <v>符于婧</v>
      </c>
      <c r="E717" s="10" t="str">
        <f aca="true" t="shared" si="28" ref="E717:E725">"女"</f>
        <v>女</v>
      </c>
      <c r="F717" s="10"/>
    </row>
    <row r="718" spans="1:6" ht="34.5" customHeight="1">
      <c r="A718" s="9">
        <v>716</v>
      </c>
      <c r="B718" s="10" t="str">
        <f>"544920230704202219102960"</f>
        <v>544920230704202219102960</v>
      </c>
      <c r="C718" s="10" t="s">
        <v>8</v>
      </c>
      <c r="D718" s="10" t="str">
        <f>"李荣波"</f>
        <v>李荣波</v>
      </c>
      <c r="E718" s="10" t="str">
        <f t="shared" si="28"/>
        <v>女</v>
      </c>
      <c r="F718" s="10"/>
    </row>
    <row r="719" spans="1:6" ht="34.5" customHeight="1">
      <c r="A719" s="9">
        <v>717</v>
      </c>
      <c r="B719" s="10" t="str">
        <f>"54492023070319555099216"</f>
        <v>54492023070319555099216</v>
      </c>
      <c r="C719" s="10" t="s">
        <v>8</v>
      </c>
      <c r="D719" s="10" t="str">
        <f>"谢秋良"</f>
        <v>谢秋良</v>
      </c>
      <c r="E719" s="10" t="str">
        <f t="shared" si="28"/>
        <v>女</v>
      </c>
      <c r="F719" s="10"/>
    </row>
    <row r="720" spans="1:6" ht="34.5" customHeight="1">
      <c r="A720" s="9">
        <v>718</v>
      </c>
      <c r="B720" s="10" t="str">
        <f>"544920230705161818105114"</f>
        <v>544920230705161818105114</v>
      </c>
      <c r="C720" s="10" t="s">
        <v>8</v>
      </c>
      <c r="D720" s="10" t="str">
        <f>"陈小原"</f>
        <v>陈小原</v>
      </c>
      <c r="E720" s="10" t="str">
        <f t="shared" si="28"/>
        <v>女</v>
      </c>
      <c r="F720" s="10"/>
    </row>
    <row r="721" spans="1:6" ht="34.5" customHeight="1">
      <c r="A721" s="9">
        <v>719</v>
      </c>
      <c r="B721" s="10" t="str">
        <f>"544920230705163518105162"</f>
        <v>544920230705163518105162</v>
      </c>
      <c r="C721" s="10" t="s">
        <v>8</v>
      </c>
      <c r="D721" s="10" t="str">
        <f>"陈运鹰"</f>
        <v>陈运鹰</v>
      </c>
      <c r="E721" s="10" t="str">
        <f t="shared" si="28"/>
        <v>女</v>
      </c>
      <c r="F721" s="10"/>
    </row>
    <row r="722" spans="1:6" ht="34.5" customHeight="1">
      <c r="A722" s="9">
        <v>720</v>
      </c>
      <c r="B722" s="10" t="str">
        <f>"544920230705164516105185"</f>
        <v>544920230705164516105185</v>
      </c>
      <c r="C722" s="10" t="s">
        <v>8</v>
      </c>
      <c r="D722" s="10" t="str">
        <f>"郭映"</f>
        <v>郭映</v>
      </c>
      <c r="E722" s="10" t="str">
        <f t="shared" si="28"/>
        <v>女</v>
      </c>
      <c r="F722" s="10"/>
    </row>
    <row r="723" spans="1:6" ht="34.5" customHeight="1">
      <c r="A723" s="9">
        <v>721</v>
      </c>
      <c r="B723" s="10" t="str">
        <f>"544920230704154923102211"</f>
        <v>544920230704154923102211</v>
      </c>
      <c r="C723" s="10" t="s">
        <v>8</v>
      </c>
      <c r="D723" s="10" t="str">
        <f>"马素妹"</f>
        <v>马素妹</v>
      </c>
      <c r="E723" s="10" t="str">
        <f t="shared" si="28"/>
        <v>女</v>
      </c>
      <c r="F723" s="10"/>
    </row>
    <row r="724" spans="1:6" ht="34.5" customHeight="1">
      <c r="A724" s="9">
        <v>722</v>
      </c>
      <c r="B724" s="10" t="str">
        <f>"544920230705183853105361"</f>
        <v>544920230705183853105361</v>
      </c>
      <c r="C724" s="10" t="s">
        <v>8</v>
      </c>
      <c r="D724" s="10" t="str">
        <f>"卢志欢"</f>
        <v>卢志欢</v>
      </c>
      <c r="E724" s="10" t="str">
        <f t="shared" si="28"/>
        <v>女</v>
      </c>
      <c r="F724" s="10"/>
    </row>
    <row r="725" spans="1:6" ht="34.5" customHeight="1">
      <c r="A725" s="9">
        <v>723</v>
      </c>
      <c r="B725" s="10" t="str">
        <f>"544920230704124350101718"</f>
        <v>544920230704124350101718</v>
      </c>
      <c r="C725" s="10" t="s">
        <v>8</v>
      </c>
      <c r="D725" s="10" t="str">
        <f>"符凤玲"</f>
        <v>符凤玲</v>
      </c>
      <c r="E725" s="10" t="str">
        <f t="shared" si="28"/>
        <v>女</v>
      </c>
      <c r="F725" s="10"/>
    </row>
    <row r="726" spans="1:6" ht="34.5" customHeight="1">
      <c r="A726" s="9">
        <v>724</v>
      </c>
      <c r="B726" s="10" t="str">
        <f>"54492023070216131794044"</f>
        <v>54492023070216131794044</v>
      </c>
      <c r="C726" s="10" t="s">
        <v>8</v>
      </c>
      <c r="D726" s="10" t="str">
        <f>"况元成"</f>
        <v>况元成</v>
      </c>
      <c r="E726" s="10" t="str">
        <f>"男"</f>
        <v>男</v>
      </c>
      <c r="F726" s="10"/>
    </row>
    <row r="727" spans="1:6" ht="34.5" customHeight="1">
      <c r="A727" s="9">
        <v>725</v>
      </c>
      <c r="B727" s="10" t="str">
        <f>"544920230705204112105531"</f>
        <v>544920230705204112105531</v>
      </c>
      <c r="C727" s="10" t="s">
        <v>8</v>
      </c>
      <c r="D727" s="10" t="str">
        <f>"叶保华"</f>
        <v>叶保华</v>
      </c>
      <c r="E727" s="10" t="str">
        <f>"男"</f>
        <v>男</v>
      </c>
      <c r="F727" s="10"/>
    </row>
    <row r="728" spans="1:6" ht="34.5" customHeight="1">
      <c r="A728" s="9">
        <v>726</v>
      </c>
      <c r="B728" s="10" t="str">
        <f>"544920230705213313105618"</f>
        <v>544920230705213313105618</v>
      </c>
      <c r="C728" s="10" t="s">
        <v>8</v>
      </c>
      <c r="D728" s="10" t="str">
        <f>" 吴清雅"</f>
        <v> 吴清雅</v>
      </c>
      <c r="E728" s="10" t="str">
        <f aca="true" t="shared" si="29" ref="E728:E736">"女"</f>
        <v>女</v>
      </c>
      <c r="F728" s="10"/>
    </row>
    <row r="729" spans="1:6" ht="34.5" customHeight="1">
      <c r="A729" s="9">
        <v>727</v>
      </c>
      <c r="B729" s="10" t="str">
        <f>"544920230705223701105739"</f>
        <v>544920230705223701105739</v>
      </c>
      <c r="C729" s="10" t="s">
        <v>8</v>
      </c>
      <c r="D729" s="10" t="str">
        <f>"宋振丹"</f>
        <v>宋振丹</v>
      </c>
      <c r="E729" s="10" t="str">
        <f t="shared" si="29"/>
        <v>女</v>
      </c>
      <c r="F729" s="10"/>
    </row>
    <row r="730" spans="1:6" ht="34.5" customHeight="1">
      <c r="A730" s="9">
        <v>728</v>
      </c>
      <c r="B730" s="10" t="str">
        <f>"544920230705215800105667"</f>
        <v>544920230705215800105667</v>
      </c>
      <c r="C730" s="10" t="s">
        <v>8</v>
      </c>
      <c r="D730" s="10" t="str">
        <f>"孙碧蓝"</f>
        <v>孙碧蓝</v>
      </c>
      <c r="E730" s="10" t="str">
        <f t="shared" si="29"/>
        <v>女</v>
      </c>
      <c r="F730" s="10"/>
    </row>
    <row r="731" spans="1:6" ht="34.5" customHeight="1">
      <c r="A731" s="9">
        <v>729</v>
      </c>
      <c r="B731" s="10" t="str">
        <f>"544920230705223614105737"</f>
        <v>544920230705223614105737</v>
      </c>
      <c r="C731" s="10" t="s">
        <v>8</v>
      </c>
      <c r="D731" s="10" t="str">
        <f>"张雅斯"</f>
        <v>张雅斯</v>
      </c>
      <c r="E731" s="10" t="str">
        <f t="shared" si="29"/>
        <v>女</v>
      </c>
      <c r="F731" s="10"/>
    </row>
    <row r="732" spans="1:6" ht="34.5" customHeight="1">
      <c r="A732" s="9">
        <v>730</v>
      </c>
      <c r="B732" s="10" t="str">
        <f>"544920230705225819105774"</f>
        <v>544920230705225819105774</v>
      </c>
      <c r="C732" s="10" t="s">
        <v>8</v>
      </c>
      <c r="D732" s="10" t="str">
        <f>"黎丽丹"</f>
        <v>黎丽丹</v>
      </c>
      <c r="E732" s="10" t="str">
        <f t="shared" si="29"/>
        <v>女</v>
      </c>
      <c r="F732" s="10"/>
    </row>
    <row r="733" spans="1:6" ht="34.5" customHeight="1">
      <c r="A733" s="9">
        <v>731</v>
      </c>
      <c r="B733" s="10" t="str">
        <f>"544920230705110911104306"</f>
        <v>544920230705110911104306</v>
      </c>
      <c r="C733" s="10" t="s">
        <v>8</v>
      </c>
      <c r="D733" s="10" t="str">
        <f>"赵兰倩"</f>
        <v>赵兰倩</v>
      </c>
      <c r="E733" s="10" t="str">
        <f t="shared" si="29"/>
        <v>女</v>
      </c>
      <c r="F733" s="10"/>
    </row>
    <row r="734" spans="1:6" ht="34.5" customHeight="1">
      <c r="A734" s="9">
        <v>732</v>
      </c>
      <c r="B734" s="10" t="str">
        <f>"544920230705204524105545"</f>
        <v>544920230705204524105545</v>
      </c>
      <c r="C734" s="10" t="s">
        <v>8</v>
      </c>
      <c r="D734" s="10" t="str">
        <f>"蔡倩雅"</f>
        <v>蔡倩雅</v>
      </c>
      <c r="E734" s="10" t="str">
        <f t="shared" si="29"/>
        <v>女</v>
      </c>
      <c r="F734" s="10"/>
    </row>
    <row r="735" spans="1:6" ht="34.5" customHeight="1">
      <c r="A735" s="9">
        <v>733</v>
      </c>
      <c r="B735" s="10" t="str">
        <f>"54492023070223570895120"</f>
        <v>54492023070223570895120</v>
      </c>
      <c r="C735" s="10" t="s">
        <v>8</v>
      </c>
      <c r="D735" s="10" t="str">
        <f>"潘淳"</f>
        <v>潘淳</v>
      </c>
      <c r="E735" s="10" t="str">
        <f t="shared" si="29"/>
        <v>女</v>
      </c>
      <c r="F735" s="10"/>
    </row>
    <row r="736" spans="1:6" ht="34.5" customHeight="1">
      <c r="A736" s="9">
        <v>734</v>
      </c>
      <c r="B736" s="10" t="str">
        <f>"544920230705232821105809"</f>
        <v>544920230705232821105809</v>
      </c>
      <c r="C736" s="10" t="s">
        <v>8</v>
      </c>
      <c r="D736" s="10" t="str">
        <f>"王昌喜"</f>
        <v>王昌喜</v>
      </c>
      <c r="E736" s="10" t="str">
        <f t="shared" si="29"/>
        <v>女</v>
      </c>
      <c r="F736" s="10"/>
    </row>
    <row r="737" spans="1:6" ht="34.5" customHeight="1">
      <c r="A737" s="9">
        <v>735</v>
      </c>
      <c r="B737" s="10" t="str">
        <f>"544920230705233044105812"</f>
        <v>544920230705233044105812</v>
      </c>
      <c r="C737" s="10" t="s">
        <v>8</v>
      </c>
      <c r="D737" s="10" t="str">
        <f>"陈桦"</f>
        <v>陈桦</v>
      </c>
      <c r="E737" s="10" t="str">
        <f>"男"</f>
        <v>男</v>
      </c>
      <c r="F737" s="10"/>
    </row>
    <row r="738" spans="1:6" ht="34.5" customHeight="1">
      <c r="A738" s="9">
        <v>736</v>
      </c>
      <c r="B738" s="10" t="str">
        <f>"544920230705231532105795"</f>
        <v>544920230705231532105795</v>
      </c>
      <c r="C738" s="10" t="s">
        <v>8</v>
      </c>
      <c r="D738" s="10" t="str">
        <f>"王晓颖"</f>
        <v>王晓颖</v>
      </c>
      <c r="E738" s="10" t="str">
        <f>"女"</f>
        <v>女</v>
      </c>
      <c r="F738" s="10"/>
    </row>
    <row r="739" spans="1:6" ht="34.5" customHeight="1">
      <c r="A739" s="9">
        <v>737</v>
      </c>
      <c r="B739" s="10" t="str">
        <f>"544920230705231055105788"</f>
        <v>544920230705231055105788</v>
      </c>
      <c r="C739" s="10" t="s">
        <v>8</v>
      </c>
      <c r="D739" s="10" t="str">
        <f>"陈贤禄"</f>
        <v>陈贤禄</v>
      </c>
      <c r="E739" s="10" t="str">
        <f>"男"</f>
        <v>男</v>
      </c>
      <c r="F739" s="10"/>
    </row>
    <row r="740" spans="1:6" ht="34.5" customHeight="1">
      <c r="A740" s="9">
        <v>738</v>
      </c>
      <c r="B740" s="10" t="str">
        <f>"544920230706002820105849"</f>
        <v>544920230706002820105849</v>
      </c>
      <c r="C740" s="10" t="s">
        <v>8</v>
      </c>
      <c r="D740" s="10" t="str">
        <f>"肖婷婷"</f>
        <v>肖婷婷</v>
      </c>
      <c r="E740" s="10" t="str">
        <f>"女"</f>
        <v>女</v>
      </c>
      <c r="F740" s="10"/>
    </row>
    <row r="741" spans="1:6" ht="34.5" customHeight="1">
      <c r="A741" s="9">
        <v>739</v>
      </c>
      <c r="B741" s="10" t="str">
        <f>"544920230704010719100374"</f>
        <v>544920230704010719100374</v>
      </c>
      <c r="C741" s="10" t="s">
        <v>8</v>
      </c>
      <c r="D741" s="10" t="str">
        <f>"刘莹慧"</f>
        <v>刘莹慧</v>
      </c>
      <c r="E741" s="10" t="str">
        <f>"女"</f>
        <v>女</v>
      </c>
      <c r="F741" s="10"/>
    </row>
    <row r="742" spans="1:6" ht="34.5" customHeight="1">
      <c r="A742" s="9">
        <v>740</v>
      </c>
      <c r="B742" s="10" t="str">
        <f>"54492023070316352998370"</f>
        <v>54492023070316352998370</v>
      </c>
      <c r="C742" s="10" t="s">
        <v>8</v>
      </c>
      <c r="D742" s="10" t="str">
        <f>"邓贤雁"</f>
        <v>邓贤雁</v>
      </c>
      <c r="E742" s="10" t="str">
        <f>"女"</f>
        <v>女</v>
      </c>
      <c r="F742" s="10"/>
    </row>
    <row r="743" spans="1:6" ht="34.5" customHeight="1">
      <c r="A743" s="9">
        <v>741</v>
      </c>
      <c r="B743" s="10" t="str">
        <f>"544920230706091224106415"</f>
        <v>544920230706091224106415</v>
      </c>
      <c r="C743" s="10" t="s">
        <v>8</v>
      </c>
      <c r="D743" s="10" t="str">
        <f>"陈芳"</f>
        <v>陈芳</v>
      </c>
      <c r="E743" s="10" t="str">
        <f>"女"</f>
        <v>女</v>
      </c>
      <c r="F743" s="10"/>
    </row>
    <row r="744" spans="1:6" ht="34.5" customHeight="1">
      <c r="A744" s="9">
        <v>742</v>
      </c>
      <c r="B744" s="10" t="str">
        <f>"544920230705130744104616"</f>
        <v>544920230705130744104616</v>
      </c>
      <c r="C744" s="10" t="s">
        <v>8</v>
      </c>
      <c r="D744" s="10" t="str">
        <f>"谢会政"</f>
        <v>谢会政</v>
      </c>
      <c r="E744" s="10" t="str">
        <f>"男"</f>
        <v>男</v>
      </c>
      <c r="F744" s="10"/>
    </row>
    <row r="745" spans="1:6" ht="34.5" customHeight="1">
      <c r="A745" s="9">
        <v>743</v>
      </c>
      <c r="B745" s="10" t="str">
        <f>"544920230706090512106357"</f>
        <v>544920230706090512106357</v>
      </c>
      <c r="C745" s="10" t="s">
        <v>8</v>
      </c>
      <c r="D745" s="10" t="str">
        <f>"王光阳"</f>
        <v>王光阳</v>
      </c>
      <c r="E745" s="10" t="str">
        <f>"男"</f>
        <v>男</v>
      </c>
      <c r="F745" s="10"/>
    </row>
    <row r="746" spans="1:6" ht="34.5" customHeight="1">
      <c r="A746" s="9">
        <v>744</v>
      </c>
      <c r="B746" s="10" t="str">
        <f>"544920230706092132106506"</f>
        <v>544920230706092132106506</v>
      </c>
      <c r="C746" s="10" t="s">
        <v>8</v>
      </c>
      <c r="D746" s="10" t="str">
        <f>"董小爱"</f>
        <v>董小爱</v>
      </c>
      <c r="E746" s="10" t="str">
        <f aca="true" t="shared" si="30" ref="E746:E754">"女"</f>
        <v>女</v>
      </c>
      <c r="F746" s="10"/>
    </row>
    <row r="747" spans="1:6" ht="34.5" customHeight="1">
      <c r="A747" s="9">
        <v>745</v>
      </c>
      <c r="B747" s="10" t="str">
        <f>"544920230706090706106369"</f>
        <v>544920230706090706106369</v>
      </c>
      <c r="C747" s="10" t="s">
        <v>8</v>
      </c>
      <c r="D747" s="10" t="str">
        <f>"郑海霞"</f>
        <v>郑海霞</v>
      </c>
      <c r="E747" s="10" t="str">
        <f t="shared" si="30"/>
        <v>女</v>
      </c>
      <c r="F747" s="10"/>
    </row>
    <row r="748" spans="1:6" ht="34.5" customHeight="1">
      <c r="A748" s="9">
        <v>746</v>
      </c>
      <c r="B748" s="10" t="str">
        <f>"544920230706090851106382"</f>
        <v>544920230706090851106382</v>
      </c>
      <c r="C748" s="10" t="s">
        <v>8</v>
      </c>
      <c r="D748" s="10" t="str">
        <f>"陈妹"</f>
        <v>陈妹</v>
      </c>
      <c r="E748" s="10" t="str">
        <f t="shared" si="30"/>
        <v>女</v>
      </c>
      <c r="F748" s="10"/>
    </row>
    <row r="749" spans="1:6" ht="34.5" customHeight="1">
      <c r="A749" s="9">
        <v>747</v>
      </c>
      <c r="B749" s="10" t="str">
        <f>"544920230706104559107410"</f>
        <v>544920230706104559107410</v>
      </c>
      <c r="C749" s="10" t="s">
        <v>8</v>
      </c>
      <c r="D749" s="10" t="str">
        <f>"陈淑琦"</f>
        <v>陈淑琦</v>
      </c>
      <c r="E749" s="10" t="str">
        <f t="shared" si="30"/>
        <v>女</v>
      </c>
      <c r="F749" s="10"/>
    </row>
    <row r="750" spans="1:6" ht="34.5" customHeight="1">
      <c r="A750" s="9">
        <v>748</v>
      </c>
      <c r="B750" s="10" t="str">
        <f>"544920230706104839107435"</f>
        <v>544920230706104839107435</v>
      </c>
      <c r="C750" s="10" t="s">
        <v>8</v>
      </c>
      <c r="D750" s="10" t="str">
        <f>"魏玉"</f>
        <v>魏玉</v>
      </c>
      <c r="E750" s="10" t="str">
        <f t="shared" si="30"/>
        <v>女</v>
      </c>
      <c r="F750" s="10"/>
    </row>
    <row r="751" spans="1:6" ht="34.5" customHeight="1">
      <c r="A751" s="9">
        <v>749</v>
      </c>
      <c r="B751" s="10" t="str">
        <f>"544920230706104146107380"</f>
        <v>544920230706104146107380</v>
      </c>
      <c r="C751" s="10" t="s">
        <v>8</v>
      </c>
      <c r="D751" s="10" t="str">
        <f>"周明哲"</f>
        <v>周明哲</v>
      </c>
      <c r="E751" s="10" t="str">
        <f t="shared" si="30"/>
        <v>女</v>
      </c>
      <c r="F751" s="10"/>
    </row>
    <row r="752" spans="1:6" ht="34.5" customHeight="1">
      <c r="A752" s="9">
        <v>750</v>
      </c>
      <c r="B752" s="10" t="str">
        <f>"544920230704104624101253"</f>
        <v>544920230704104624101253</v>
      </c>
      <c r="C752" s="10" t="s">
        <v>8</v>
      </c>
      <c r="D752" s="10" t="str">
        <f>"陈奕华"</f>
        <v>陈奕华</v>
      </c>
      <c r="E752" s="10" t="str">
        <f t="shared" si="30"/>
        <v>女</v>
      </c>
      <c r="F752" s="10"/>
    </row>
    <row r="753" spans="1:6" ht="34.5" customHeight="1">
      <c r="A753" s="9">
        <v>751</v>
      </c>
      <c r="B753" s="10" t="str">
        <f>"544920230706130321108380"</f>
        <v>544920230706130321108380</v>
      </c>
      <c r="C753" s="10" t="s">
        <v>8</v>
      </c>
      <c r="D753" s="10" t="str">
        <f>"丁文颖"</f>
        <v>丁文颖</v>
      </c>
      <c r="E753" s="10" t="str">
        <f t="shared" si="30"/>
        <v>女</v>
      </c>
      <c r="F753" s="10"/>
    </row>
    <row r="754" spans="1:6" ht="34.5" customHeight="1">
      <c r="A754" s="9">
        <v>752</v>
      </c>
      <c r="B754" s="10" t="str">
        <f>"544920230706132121108493"</f>
        <v>544920230706132121108493</v>
      </c>
      <c r="C754" s="10" t="s">
        <v>8</v>
      </c>
      <c r="D754" s="10" t="str">
        <f>"陈敏纳"</f>
        <v>陈敏纳</v>
      </c>
      <c r="E754" s="10" t="str">
        <f t="shared" si="30"/>
        <v>女</v>
      </c>
      <c r="F754" s="10"/>
    </row>
    <row r="755" spans="1:6" ht="34.5" customHeight="1">
      <c r="A755" s="9">
        <v>753</v>
      </c>
      <c r="B755" s="10" t="str">
        <f>"544920230706144918108971"</f>
        <v>544920230706144918108971</v>
      </c>
      <c r="C755" s="10" t="s">
        <v>8</v>
      </c>
      <c r="D755" s="10" t="str">
        <f>"林海平"</f>
        <v>林海平</v>
      </c>
      <c r="E755" s="10" t="str">
        <f>"男"</f>
        <v>男</v>
      </c>
      <c r="F755" s="10"/>
    </row>
    <row r="756" spans="1:6" ht="34.5" customHeight="1">
      <c r="A756" s="9">
        <v>754</v>
      </c>
      <c r="B756" s="10" t="str">
        <f>"544920230704105707101314"</f>
        <v>544920230704105707101314</v>
      </c>
      <c r="C756" s="10" t="s">
        <v>8</v>
      </c>
      <c r="D756" s="10" t="str">
        <f>"文秀琪"</f>
        <v>文秀琪</v>
      </c>
      <c r="E756" s="10" t="str">
        <f>"女"</f>
        <v>女</v>
      </c>
      <c r="F756" s="10"/>
    </row>
    <row r="757" spans="1:6" ht="34.5" customHeight="1">
      <c r="A757" s="9">
        <v>755</v>
      </c>
      <c r="B757" s="10" t="str">
        <f>"544920230705161157105091"</f>
        <v>544920230705161157105091</v>
      </c>
      <c r="C757" s="10" t="s">
        <v>8</v>
      </c>
      <c r="D757" s="10" t="str">
        <f>"吴钟锋"</f>
        <v>吴钟锋</v>
      </c>
      <c r="E757" s="10" t="str">
        <f>"男"</f>
        <v>男</v>
      </c>
      <c r="F757" s="10"/>
    </row>
    <row r="758" spans="1:6" ht="34.5" customHeight="1">
      <c r="A758" s="9">
        <v>756</v>
      </c>
      <c r="B758" s="10" t="str">
        <f>"544920230706164601109776"</f>
        <v>544920230706164601109776</v>
      </c>
      <c r="C758" s="10" t="s">
        <v>8</v>
      </c>
      <c r="D758" s="10" t="str">
        <f>"鞠雨婷"</f>
        <v>鞠雨婷</v>
      </c>
      <c r="E758" s="10" t="str">
        <f aca="true" t="shared" si="31" ref="E758:E774">"女"</f>
        <v>女</v>
      </c>
      <c r="F758" s="10"/>
    </row>
    <row r="759" spans="1:6" ht="34.5" customHeight="1">
      <c r="A759" s="9">
        <v>757</v>
      </c>
      <c r="B759" s="10" t="str">
        <f>"544920230706164229109742"</f>
        <v>544920230706164229109742</v>
      </c>
      <c r="C759" s="10" t="s">
        <v>8</v>
      </c>
      <c r="D759" s="10" t="str">
        <f>"傅圆圆"</f>
        <v>傅圆圆</v>
      </c>
      <c r="E759" s="10" t="str">
        <f t="shared" si="31"/>
        <v>女</v>
      </c>
      <c r="F759" s="10"/>
    </row>
    <row r="760" spans="1:6" ht="34.5" customHeight="1">
      <c r="A760" s="9">
        <v>758</v>
      </c>
      <c r="B760" s="10" t="str">
        <f>"544920230704223124103294"</f>
        <v>544920230704223124103294</v>
      </c>
      <c r="C760" s="10" t="s">
        <v>8</v>
      </c>
      <c r="D760" s="10" t="str">
        <f>"黄莉萍"</f>
        <v>黄莉萍</v>
      </c>
      <c r="E760" s="10" t="str">
        <f t="shared" si="31"/>
        <v>女</v>
      </c>
      <c r="F760" s="10"/>
    </row>
    <row r="761" spans="1:6" ht="34.5" customHeight="1">
      <c r="A761" s="9">
        <v>759</v>
      </c>
      <c r="B761" s="10" t="str">
        <f>"544920230705195510105446"</f>
        <v>544920230705195510105446</v>
      </c>
      <c r="C761" s="10" t="s">
        <v>8</v>
      </c>
      <c r="D761" s="10" t="str">
        <f>"李妲妲"</f>
        <v>李妲妲</v>
      </c>
      <c r="E761" s="10" t="str">
        <f t="shared" si="31"/>
        <v>女</v>
      </c>
      <c r="F761" s="10"/>
    </row>
    <row r="762" spans="1:6" ht="34.5" customHeight="1">
      <c r="A762" s="9">
        <v>760</v>
      </c>
      <c r="B762" s="10" t="str">
        <f>"544920230704181649102664"</f>
        <v>544920230704181649102664</v>
      </c>
      <c r="C762" s="10" t="s">
        <v>8</v>
      </c>
      <c r="D762" s="10" t="str">
        <f>"穆钰琳"</f>
        <v>穆钰琳</v>
      </c>
      <c r="E762" s="10" t="str">
        <f t="shared" si="31"/>
        <v>女</v>
      </c>
      <c r="F762" s="10"/>
    </row>
    <row r="763" spans="1:6" ht="34.5" customHeight="1">
      <c r="A763" s="9">
        <v>761</v>
      </c>
      <c r="B763" s="10" t="str">
        <f>"544920230706100606107025"</f>
        <v>544920230706100606107025</v>
      </c>
      <c r="C763" s="10" t="s">
        <v>8</v>
      </c>
      <c r="D763" s="10" t="str">
        <f>"林施妹"</f>
        <v>林施妹</v>
      </c>
      <c r="E763" s="10" t="str">
        <f t="shared" si="31"/>
        <v>女</v>
      </c>
      <c r="F763" s="10"/>
    </row>
    <row r="764" spans="1:6" ht="34.5" customHeight="1">
      <c r="A764" s="9">
        <v>762</v>
      </c>
      <c r="B764" s="10" t="str">
        <f>"544920230706185139110352"</f>
        <v>544920230706185139110352</v>
      </c>
      <c r="C764" s="10" t="s">
        <v>8</v>
      </c>
      <c r="D764" s="10" t="str">
        <f>"钟金妹"</f>
        <v>钟金妹</v>
      </c>
      <c r="E764" s="10" t="str">
        <f t="shared" si="31"/>
        <v>女</v>
      </c>
      <c r="F764" s="10"/>
    </row>
    <row r="765" spans="1:6" ht="34.5" customHeight="1">
      <c r="A765" s="9">
        <v>763</v>
      </c>
      <c r="B765" s="10" t="str">
        <f>"544920230706195202110552"</f>
        <v>544920230706195202110552</v>
      </c>
      <c r="C765" s="10" t="s">
        <v>8</v>
      </c>
      <c r="D765" s="10" t="str">
        <f>"潘诗婷"</f>
        <v>潘诗婷</v>
      </c>
      <c r="E765" s="10" t="str">
        <f t="shared" si="31"/>
        <v>女</v>
      </c>
      <c r="F765" s="10"/>
    </row>
    <row r="766" spans="1:6" ht="34.5" customHeight="1">
      <c r="A766" s="9">
        <v>764</v>
      </c>
      <c r="B766" s="10" t="str">
        <f>"544920230706110326107588"</f>
        <v>544920230706110326107588</v>
      </c>
      <c r="C766" s="10" t="s">
        <v>8</v>
      </c>
      <c r="D766" s="10" t="str">
        <f>"云茹"</f>
        <v>云茹</v>
      </c>
      <c r="E766" s="10" t="str">
        <f t="shared" si="31"/>
        <v>女</v>
      </c>
      <c r="F766" s="10"/>
    </row>
    <row r="767" spans="1:6" ht="34.5" customHeight="1">
      <c r="A767" s="9">
        <v>765</v>
      </c>
      <c r="B767" s="10" t="str">
        <f>"544920230706203700110728"</f>
        <v>544920230706203700110728</v>
      </c>
      <c r="C767" s="10" t="s">
        <v>8</v>
      </c>
      <c r="D767" s="10" t="str">
        <f>"万火玉"</f>
        <v>万火玉</v>
      </c>
      <c r="E767" s="10" t="str">
        <f t="shared" si="31"/>
        <v>女</v>
      </c>
      <c r="F767" s="10"/>
    </row>
    <row r="768" spans="1:6" ht="34.5" customHeight="1">
      <c r="A768" s="9">
        <v>766</v>
      </c>
      <c r="B768" s="10" t="str">
        <f>"54492023070308582995423"</f>
        <v>54492023070308582995423</v>
      </c>
      <c r="C768" s="10" t="s">
        <v>8</v>
      </c>
      <c r="D768" s="10" t="str">
        <f>"唐哈"</f>
        <v>唐哈</v>
      </c>
      <c r="E768" s="10" t="str">
        <f t="shared" si="31"/>
        <v>女</v>
      </c>
      <c r="F768" s="10"/>
    </row>
    <row r="769" spans="1:6" ht="34.5" customHeight="1">
      <c r="A769" s="9">
        <v>767</v>
      </c>
      <c r="B769" s="10" t="str">
        <f>"544920230706214711111042"</f>
        <v>544920230706214711111042</v>
      </c>
      <c r="C769" s="10" t="s">
        <v>8</v>
      </c>
      <c r="D769" s="10" t="str">
        <f>"许海源"</f>
        <v>许海源</v>
      </c>
      <c r="E769" s="10" t="str">
        <f t="shared" si="31"/>
        <v>女</v>
      </c>
      <c r="F769" s="10"/>
    </row>
    <row r="770" spans="1:6" ht="34.5" customHeight="1">
      <c r="A770" s="9">
        <v>768</v>
      </c>
      <c r="B770" s="10" t="str">
        <f>"54492023070313052697291"</f>
        <v>54492023070313052697291</v>
      </c>
      <c r="C770" s="10" t="s">
        <v>8</v>
      </c>
      <c r="D770" s="10" t="str">
        <f>"邢文月"</f>
        <v>邢文月</v>
      </c>
      <c r="E770" s="10" t="str">
        <f t="shared" si="31"/>
        <v>女</v>
      </c>
      <c r="F770" s="10"/>
    </row>
    <row r="771" spans="1:6" ht="34.5" customHeight="1">
      <c r="A771" s="9">
        <v>769</v>
      </c>
      <c r="B771" s="10" t="str">
        <f>"544920230706213550110988"</f>
        <v>544920230706213550110988</v>
      </c>
      <c r="C771" s="10" t="s">
        <v>8</v>
      </c>
      <c r="D771" s="10" t="str">
        <f>"肖林琳"</f>
        <v>肖林琳</v>
      </c>
      <c r="E771" s="10" t="str">
        <f t="shared" si="31"/>
        <v>女</v>
      </c>
      <c r="F771" s="10"/>
    </row>
    <row r="772" spans="1:6" ht="34.5" customHeight="1">
      <c r="A772" s="9">
        <v>770</v>
      </c>
      <c r="B772" s="10" t="str">
        <f>"544920230706201016110621"</f>
        <v>544920230706201016110621</v>
      </c>
      <c r="C772" s="10" t="s">
        <v>8</v>
      </c>
      <c r="D772" s="10" t="str">
        <f>"韩智茹"</f>
        <v>韩智茹</v>
      </c>
      <c r="E772" s="10" t="str">
        <f t="shared" si="31"/>
        <v>女</v>
      </c>
      <c r="F772" s="10"/>
    </row>
    <row r="773" spans="1:6" ht="34.5" customHeight="1">
      <c r="A773" s="9">
        <v>771</v>
      </c>
      <c r="B773" s="10" t="str">
        <f>"544920230706215619111077"</f>
        <v>544920230706215619111077</v>
      </c>
      <c r="C773" s="10" t="s">
        <v>8</v>
      </c>
      <c r="D773" s="10" t="str">
        <f>"李春霞"</f>
        <v>李春霞</v>
      </c>
      <c r="E773" s="10" t="str">
        <f t="shared" si="31"/>
        <v>女</v>
      </c>
      <c r="F773" s="10"/>
    </row>
    <row r="774" spans="1:6" ht="34.5" customHeight="1">
      <c r="A774" s="9">
        <v>772</v>
      </c>
      <c r="B774" s="10" t="str">
        <f>"544920230706223159111215"</f>
        <v>544920230706223159111215</v>
      </c>
      <c r="C774" s="10" t="s">
        <v>8</v>
      </c>
      <c r="D774" s="10" t="str">
        <f>"叶艳丽"</f>
        <v>叶艳丽</v>
      </c>
      <c r="E774" s="10" t="str">
        <f t="shared" si="31"/>
        <v>女</v>
      </c>
      <c r="F774" s="10"/>
    </row>
    <row r="775" spans="1:6" ht="34.5" customHeight="1">
      <c r="A775" s="9">
        <v>773</v>
      </c>
      <c r="B775" s="10" t="str">
        <f>"544920230706212134110938"</f>
        <v>544920230706212134110938</v>
      </c>
      <c r="C775" s="10" t="s">
        <v>8</v>
      </c>
      <c r="D775" s="10" t="str">
        <f>"袁涌航"</f>
        <v>袁涌航</v>
      </c>
      <c r="E775" s="10" t="str">
        <f>"男"</f>
        <v>男</v>
      </c>
      <c r="F775" s="10"/>
    </row>
    <row r="776" spans="1:6" ht="34.5" customHeight="1">
      <c r="A776" s="9">
        <v>774</v>
      </c>
      <c r="B776" s="10" t="str">
        <f>"544920230706231546111357"</f>
        <v>544920230706231546111357</v>
      </c>
      <c r="C776" s="10" t="s">
        <v>8</v>
      </c>
      <c r="D776" s="10" t="str">
        <f>"林小琴"</f>
        <v>林小琴</v>
      </c>
      <c r="E776" s="10" t="str">
        <f aca="true" t="shared" si="32" ref="E776:E786">"女"</f>
        <v>女</v>
      </c>
      <c r="F776" s="10"/>
    </row>
    <row r="777" spans="1:6" ht="34.5" customHeight="1">
      <c r="A777" s="9">
        <v>775</v>
      </c>
      <c r="B777" s="10" t="str">
        <f>"544920230706230807111332"</f>
        <v>544920230706230807111332</v>
      </c>
      <c r="C777" s="10" t="s">
        <v>8</v>
      </c>
      <c r="D777" s="10" t="str">
        <f>"陈肖婷"</f>
        <v>陈肖婷</v>
      </c>
      <c r="E777" s="10" t="str">
        <f t="shared" si="32"/>
        <v>女</v>
      </c>
      <c r="F777" s="10"/>
    </row>
    <row r="778" spans="1:6" ht="34.5" customHeight="1">
      <c r="A778" s="9">
        <v>776</v>
      </c>
      <c r="B778" s="10" t="str">
        <f>"544920230707001801111453"</f>
        <v>544920230707001801111453</v>
      </c>
      <c r="C778" s="10" t="s">
        <v>8</v>
      </c>
      <c r="D778" s="10" t="str">
        <f>"黄玲"</f>
        <v>黄玲</v>
      </c>
      <c r="E778" s="10" t="str">
        <f t="shared" si="32"/>
        <v>女</v>
      </c>
      <c r="F778" s="10"/>
    </row>
    <row r="779" spans="1:6" ht="34.5" customHeight="1">
      <c r="A779" s="9">
        <v>777</v>
      </c>
      <c r="B779" s="10" t="str">
        <f>"544920230707091304111811"</f>
        <v>544920230707091304111811</v>
      </c>
      <c r="C779" s="10" t="s">
        <v>8</v>
      </c>
      <c r="D779" s="10" t="str">
        <f>"林月倩"</f>
        <v>林月倩</v>
      </c>
      <c r="E779" s="10" t="str">
        <f t="shared" si="32"/>
        <v>女</v>
      </c>
      <c r="F779" s="10"/>
    </row>
    <row r="780" spans="1:6" ht="34.5" customHeight="1">
      <c r="A780" s="9">
        <v>778</v>
      </c>
      <c r="B780" s="10" t="str">
        <f>"544920230707095601112090"</f>
        <v>544920230707095601112090</v>
      </c>
      <c r="C780" s="10" t="s">
        <v>8</v>
      </c>
      <c r="D780" s="10" t="str">
        <f>"黎宁宁"</f>
        <v>黎宁宁</v>
      </c>
      <c r="E780" s="10" t="str">
        <f t="shared" si="32"/>
        <v>女</v>
      </c>
      <c r="F780" s="10"/>
    </row>
    <row r="781" spans="1:6" ht="34.5" customHeight="1">
      <c r="A781" s="9">
        <v>779</v>
      </c>
      <c r="B781" s="10" t="str">
        <f>"544920230707091226111806"</f>
        <v>544920230707091226111806</v>
      </c>
      <c r="C781" s="10" t="s">
        <v>8</v>
      </c>
      <c r="D781" s="10" t="str">
        <f>"郭皇妹"</f>
        <v>郭皇妹</v>
      </c>
      <c r="E781" s="10" t="str">
        <f t="shared" si="32"/>
        <v>女</v>
      </c>
      <c r="F781" s="10"/>
    </row>
    <row r="782" spans="1:6" ht="34.5" customHeight="1">
      <c r="A782" s="9">
        <v>780</v>
      </c>
      <c r="B782" s="10" t="str">
        <f>"544920230704203236102996"</f>
        <v>544920230704203236102996</v>
      </c>
      <c r="C782" s="10" t="s">
        <v>8</v>
      </c>
      <c r="D782" s="10" t="str">
        <f>"曹静依"</f>
        <v>曹静依</v>
      </c>
      <c r="E782" s="10" t="str">
        <f t="shared" si="32"/>
        <v>女</v>
      </c>
      <c r="F782" s="10"/>
    </row>
    <row r="783" spans="1:6" ht="34.5" customHeight="1">
      <c r="A783" s="9">
        <v>781</v>
      </c>
      <c r="B783" s="10" t="str">
        <f>"544920230704153750102170"</f>
        <v>544920230704153750102170</v>
      </c>
      <c r="C783" s="10" t="s">
        <v>8</v>
      </c>
      <c r="D783" s="10" t="str">
        <f>"陈思颖"</f>
        <v>陈思颖</v>
      </c>
      <c r="E783" s="10" t="str">
        <f t="shared" si="32"/>
        <v>女</v>
      </c>
      <c r="F783" s="10"/>
    </row>
    <row r="784" spans="1:6" ht="34.5" customHeight="1">
      <c r="A784" s="9">
        <v>782</v>
      </c>
      <c r="B784" s="10" t="str">
        <f>"544920230707142219113491"</f>
        <v>544920230707142219113491</v>
      </c>
      <c r="C784" s="10" t="s">
        <v>8</v>
      </c>
      <c r="D784" s="10" t="str">
        <f>"洪利吉"</f>
        <v>洪利吉</v>
      </c>
      <c r="E784" s="10" t="str">
        <f t="shared" si="32"/>
        <v>女</v>
      </c>
      <c r="F784" s="10"/>
    </row>
    <row r="785" spans="1:6" ht="34.5" customHeight="1">
      <c r="A785" s="9">
        <v>783</v>
      </c>
      <c r="B785" s="10" t="str">
        <f>"544920230707152001113765"</f>
        <v>544920230707152001113765</v>
      </c>
      <c r="C785" s="10" t="s">
        <v>8</v>
      </c>
      <c r="D785" s="10" t="str">
        <f>"孙霞飞"</f>
        <v>孙霞飞</v>
      </c>
      <c r="E785" s="10" t="str">
        <f t="shared" si="32"/>
        <v>女</v>
      </c>
      <c r="F785" s="10"/>
    </row>
    <row r="786" spans="1:6" ht="34.5" customHeight="1">
      <c r="A786" s="9">
        <v>784</v>
      </c>
      <c r="B786" s="10" t="str">
        <f>"544920230707153410113844"</f>
        <v>544920230707153410113844</v>
      </c>
      <c r="C786" s="10" t="s">
        <v>8</v>
      </c>
      <c r="D786" s="10" t="str">
        <f>"李维庭"</f>
        <v>李维庭</v>
      </c>
      <c r="E786" s="10" t="str">
        <f t="shared" si="32"/>
        <v>女</v>
      </c>
      <c r="F786" s="10"/>
    </row>
    <row r="787" spans="1:6" ht="34.5" customHeight="1">
      <c r="A787" s="9">
        <v>785</v>
      </c>
      <c r="B787" s="10" t="str">
        <f>"544920230707152708113804"</f>
        <v>544920230707152708113804</v>
      </c>
      <c r="C787" s="10" t="s">
        <v>8</v>
      </c>
      <c r="D787" s="10" t="str">
        <f>"代浩"</f>
        <v>代浩</v>
      </c>
      <c r="E787" s="10" t="str">
        <f>"男"</f>
        <v>男</v>
      </c>
      <c r="F787" s="10"/>
    </row>
    <row r="788" spans="1:6" ht="34.5" customHeight="1">
      <c r="A788" s="9">
        <v>786</v>
      </c>
      <c r="B788" s="10" t="str">
        <f>"544920230707013805111500"</f>
        <v>544920230707013805111500</v>
      </c>
      <c r="C788" s="10" t="s">
        <v>8</v>
      </c>
      <c r="D788" s="10" t="str">
        <f>"王淼"</f>
        <v>王淼</v>
      </c>
      <c r="E788" s="10" t="str">
        <f aca="true" t="shared" si="33" ref="E788:E802">"女"</f>
        <v>女</v>
      </c>
      <c r="F788" s="10"/>
    </row>
    <row r="789" spans="1:6" ht="34.5" customHeight="1">
      <c r="A789" s="9">
        <v>787</v>
      </c>
      <c r="B789" s="10" t="str">
        <f>"544920230707160402113995"</f>
        <v>544920230707160402113995</v>
      </c>
      <c r="C789" s="10" t="s">
        <v>8</v>
      </c>
      <c r="D789" s="10" t="str">
        <f>"庄鹤君"</f>
        <v>庄鹤君</v>
      </c>
      <c r="E789" s="10" t="str">
        <f t="shared" si="33"/>
        <v>女</v>
      </c>
      <c r="F789" s="10"/>
    </row>
    <row r="790" spans="1:6" ht="34.5" customHeight="1">
      <c r="A790" s="9">
        <v>788</v>
      </c>
      <c r="B790" s="10" t="str">
        <f>"54492023070315332398003"</f>
        <v>54492023070315332398003</v>
      </c>
      <c r="C790" s="10" t="s">
        <v>8</v>
      </c>
      <c r="D790" s="10" t="str">
        <f>"邱惠婷"</f>
        <v>邱惠婷</v>
      </c>
      <c r="E790" s="10" t="str">
        <f t="shared" si="33"/>
        <v>女</v>
      </c>
      <c r="F790" s="10"/>
    </row>
    <row r="791" spans="1:6" ht="34.5" customHeight="1">
      <c r="A791" s="9">
        <v>789</v>
      </c>
      <c r="B791" s="10" t="str">
        <f>"544920230707161715114054"</f>
        <v>544920230707161715114054</v>
      </c>
      <c r="C791" s="10" t="s">
        <v>8</v>
      </c>
      <c r="D791" s="10" t="str">
        <f>"唐仁欢"</f>
        <v>唐仁欢</v>
      </c>
      <c r="E791" s="10" t="str">
        <f t="shared" si="33"/>
        <v>女</v>
      </c>
      <c r="F791" s="10"/>
    </row>
    <row r="792" spans="1:6" ht="34.5" customHeight="1">
      <c r="A792" s="9">
        <v>790</v>
      </c>
      <c r="B792" s="10" t="str">
        <f>"544920230707181151114513"</f>
        <v>544920230707181151114513</v>
      </c>
      <c r="C792" s="10" t="s">
        <v>8</v>
      </c>
      <c r="D792" s="10" t="str">
        <f>"曾秀燕"</f>
        <v>曾秀燕</v>
      </c>
      <c r="E792" s="10" t="str">
        <f t="shared" si="33"/>
        <v>女</v>
      </c>
      <c r="F792" s="10"/>
    </row>
    <row r="793" spans="1:6" ht="34.5" customHeight="1">
      <c r="A793" s="9">
        <v>791</v>
      </c>
      <c r="B793" s="10" t="str">
        <f>"544920230707175858114471"</f>
        <v>544920230707175858114471</v>
      </c>
      <c r="C793" s="10" t="s">
        <v>8</v>
      </c>
      <c r="D793" s="10" t="str">
        <f>"黄加妹"</f>
        <v>黄加妹</v>
      </c>
      <c r="E793" s="10" t="str">
        <f t="shared" si="33"/>
        <v>女</v>
      </c>
      <c r="F793" s="10"/>
    </row>
    <row r="794" spans="1:6" ht="34.5" customHeight="1">
      <c r="A794" s="9">
        <v>792</v>
      </c>
      <c r="B794" s="10" t="str">
        <f>"544920230707172539114363"</f>
        <v>544920230707172539114363</v>
      </c>
      <c r="C794" s="10" t="s">
        <v>8</v>
      </c>
      <c r="D794" s="10" t="str">
        <f>"陈小妹"</f>
        <v>陈小妹</v>
      </c>
      <c r="E794" s="10" t="str">
        <f t="shared" si="33"/>
        <v>女</v>
      </c>
      <c r="F794" s="10"/>
    </row>
    <row r="795" spans="1:6" ht="34.5" customHeight="1">
      <c r="A795" s="9">
        <v>793</v>
      </c>
      <c r="B795" s="10" t="str">
        <f>"544920230707185135114630"</f>
        <v>544920230707185135114630</v>
      </c>
      <c r="C795" s="10" t="s">
        <v>8</v>
      </c>
      <c r="D795" s="10" t="str">
        <f>"周嘉琪"</f>
        <v>周嘉琪</v>
      </c>
      <c r="E795" s="10" t="str">
        <f t="shared" si="33"/>
        <v>女</v>
      </c>
      <c r="F795" s="10"/>
    </row>
    <row r="796" spans="1:6" ht="34.5" customHeight="1">
      <c r="A796" s="9">
        <v>794</v>
      </c>
      <c r="B796" s="10" t="str">
        <f>"54492023070322055799869"</f>
        <v>54492023070322055799869</v>
      </c>
      <c r="C796" s="10" t="s">
        <v>8</v>
      </c>
      <c r="D796" s="10" t="str">
        <f>"谢辉暖"</f>
        <v>谢辉暖</v>
      </c>
      <c r="E796" s="10" t="str">
        <f t="shared" si="33"/>
        <v>女</v>
      </c>
      <c r="F796" s="10"/>
    </row>
    <row r="797" spans="1:6" ht="34.5" customHeight="1">
      <c r="A797" s="9">
        <v>795</v>
      </c>
      <c r="B797" s="10" t="str">
        <f>"544920230707204612114969"</f>
        <v>544920230707204612114969</v>
      </c>
      <c r="C797" s="10" t="s">
        <v>8</v>
      </c>
      <c r="D797" s="10" t="str">
        <f>"王花晓"</f>
        <v>王花晓</v>
      </c>
      <c r="E797" s="10" t="str">
        <f t="shared" si="33"/>
        <v>女</v>
      </c>
      <c r="F797" s="10"/>
    </row>
    <row r="798" spans="1:6" ht="34.5" customHeight="1">
      <c r="A798" s="9">
        <v>796</v>
      </c>
      <c r="B798" s="10" t="str">
        <f>"544920230707113248112710"</f>
        <v>544920230707113248112710</v>
      </c>
      <c r="C798" s="10" t="s">
        <v>8</v>
      </c>
      <c r="D798" s="10" t="str">
        <f>"吴源洁"</f>
        <v>吴源洁</v>
      </c>
      <c r="E798" s="10" t="str">
        <f t="shared" si="33"/>
        <v>女</v>
      </c>
      <c r="F798" s="10"/>
    </row>
    <row r="799" spans="1:6" ht="34.5" customHeight="1">
      <c r="A799" s="9">
        <v>797</v>
      </c>
      <c r="B799" s="10" t="str">
        <f>"544920230707221244115248"</f>
        <v>544920230707221244115248</v>
      </c>
      <c r="C799" s="10" t="s">
        <v>8</v>
      </c>
      <c r="D799" s="10" t="str">
        <f>"邓玉婷"</f>
        <v>邓玉婷</v>
      </c>
      <c r="E799" s="10" t="str">
        <f t="shared" si="33"/>
        <v>女</v>
      </c>
      <c r="F799" s="10"/>
    </row>
    <row r="800" spans="1:6" ht="34.5" customHeight="1">
      <c r="A800" s="9">
        <v>798</v>
      </c>
      <c r="B800" s="10" t="str">
        <f>"544920230707151636113746"</f>
        <v>544920230707151636113746</v>
      </c>
      <c r="C800" s="10" t="s">
        <v>8</v>
      </c>
      <c r="D800" s="10" t="str">
        <f>"梁日带"</f>
        <v>梁日带</v>
      </c>
      <c r="E800" s="10" t="str">
        <f t="shared" si="33"/>
        <v>女</v>
      </c>
      <c r="F800" s="10"/>
    </row>
    <row r="801" spans="1:6" ht="34.5" customHeight="1">
      <c r="A801" s="9">
        <v>799</v>
      </c>
      <c r="B801" s="10" t="str">
        <f>"544920230708085713115806"</f>
        <v>544920230708085713115806</v>
      </c>
      <c r="C801" s="10" t="s">
        <v>8</v>
      </c>
      <c r="D801" s="10" t="str">
        <f>"符万方"</f>
        <v>符万方</v>
      </c>
      <c r="E801" s="10" t="str">
        <f t="shared" si="33"/>
        <v>女</v>
      </c>
      <c r="F801" s="10"/>
    </row>
    <row r="802" spans="1:6" ht="34.5" customHeight="1">
      <c r="A802" s="9">
        <v>800</v>
      </c>
      <c r="B802" s="10" t="str">
        <f>"544920230708095829115985"</f>
        <v>544920230708095829115985</v>
      </c>
      <c r="C802" s="10" t="s">
        <v>8</v>
      </c>
      <c r="D802" s="10" t="str">
        <f>"赖忆连"</f>
        <v>赖忆连</v>
      </c>
      <c r="E802" s="10" t="str">
        <f t="shared" si="33"/>
        <v>女</v>
      </c>
      <c r="F802" s="10"/>
    </row>
    <row r="803" spans="1:6" ht="34.5" customHeight="1">
      <c r="A803" s="9">
        <v>801</v>
      </c>
      <c r="B803" s="10" t="str">
        <f>"544920230708093200115913"</f>
        <v>544920230708093200115913</v>
      </c>
      <c r="C803" s="10" t="s">
        <v>8</v>
      </c>
      <c r="D803" s="10" t="str">
        <f>"柳重春"</f>
        <v>柳重春</v>
      </c>
      <c r="E803" s="10" t="str">
        <f>"男"</f>
        <v>男</v>
      </c>
      <c r="F803" s="10"/>
    </row>
    <row r="804" spans="1:6" ht="34.5" customHeight="1">
      <c r="A804" s="9">
        <v>802</v>
      </c>
      <c r="B804" s="10" t="str">
        <f>"54492023070312513997196"</f>
        <v>54492023070312513997196</v>
      </c>
      <c r="C804" s="10" t="s">
        <v>8</v>
      </c>
      <c r="D804" s="10" t="str">
        <f>"王玉菲"</f>
        <v>王玉菲</v>
      </c>
      <c r="E804" s="10" t="str">
        <f aca="true" t="shared" si="34" ref="E804:E816">"女"</f>
        <v>女</v>
      </c>
      <c r="F804" s="10"/>
    </row>
    <row r="805" spans="1:6" ht="34.5" customHeight="1">
      <c r="A805" s="9">
        <v>803</v>
      </c>
      <c r="B805" s="10" t="str">
        <f>"544920230708104126116137"</f>
        <v>544920230708104126116137</v>
      </c>
      <c r="C805" s="10" t="s">
        <v>8</v>
      </c>
      <c r="D805" s="10" t="str">
        <f>"陈影霞"</f>
        <v>陈影霞</v>
      </c>
      <c r="E805" s="10" t="str">
        <f t="shared" si="34"/>
        <v>女</v>
      </c>
      <c r="F805" s="10"/>
    </row>
    <row r="806" spans="1:6" ht="34.5" customHeight="1">
      <c r="A806" s="9">
        <v>804</v>
      </c>
      <c r="B806" s="10" t="str">
        <f>"544920230708120250116410"</f>
        <v>544920230708120250116410</v>
      </c>
      <c r="C806" s="10" t="s">
        <v>8</v>
      </c>
      <c r="D806" s="10" t="str">
        <f>"文金静"</f>
        <v>文金静</v>
      </c>
      <c r="E806" s="10" t="str">
        <f t="shared" si="34"/>
        <v>女</v>
      </c>
      <c r="F806" s="10"/>
    </row>
    <row r="807" spans="1:6" ht="34.5" customHeight="1">
      <c r="A807" s="9">
        <v>805</v>
      </c>
      <c r="B807" s="10" t="str">
        <f>"544920230707230839115438"</f>
        <v>544920230707230839115438</v>
      </c>
      <c r="C807" s="10" t="s">
        <v>8</v>
      </c>
      <c r="D807" s="10" t="str">
        <f>"王诗蔓"</f>
        <v>王诗蔓</v>
      </c>
      <c r="E807" s="10" t="str">
        <f t="shared" si="34"/>
        <v>女</v>
      </c>
      <c r="F807" s="10"/>
    </row>
    <row r="808" spans="1:6" ht="34.5" customHeight="1">
      <c r="A808" s="9">
        <v>806</v>
      </c>
      <c r="B808" s="10" t="str">
        <f>"544920230708160146117339"</f>
        <v>544920230708160146117339</v>
      </c>
      <c r="C808" s="10" t="s">
        <v>8</v>
      </c>
      <c r="D808" s="10" t="str">
        <f>"刘振易"</f>
        <v>刘振易</v>
      </c>
      <c r="E808" s="10" t="str">
        <f t="shared" si="34"/>
        <v>女</v>
      </c>
      <c r="F808" s="10"/>
    </row>
    <row r="809" spans="1:6" ht="34.5" customHeight="1">
      <c r="A809" s="9">
        <v>807</v>
      </c>
      <c r="B809" s="10" t="str">
        <f>"544920230708172250117571"</f>
        <v>544920230708172250117571</v>
      </c>
      <c r="C809" s="10" t="s">
        <v>8</v>
      </c>
      <c r="D809" s="10" t="str">
        <f>"田师文"</f>
        <v>田师文</v>
      </c>
      <c r="E809" s="10" t="str">
        <f t="shared" si="34"/>
        <v>女</v>
      </c>
      <c r="F809" s="10"/>
    </row>
    <row r="810" spans="1:6" ht="34.5" customHeight="1">
      <c r="A810" s="9">
        <v>808</v>
      </c>
      <c r="B810" s="10" t="str">
        <f>"54492023070319542999208"</f>
        <v>54492023070319542999208</v>
      </c>
      <c r="C810" s="10" t="s">
        <v>8</v>
      </c>
      <c r="D810" s="10" t="str">
        <f>"邢佳佳"</f>
        <v>邢佳佳</v>
      </c>
      <c r="E810" s="10" t="str">
        <f t="shared" si="34"/>
        <v>女</v>
      </c>
      <c r="F810" s="10"/>
    </row>
    <row r="811" spans="1:6" ht="34.5" customHeight="1">
      <c r="A811" s="9">
        <v>809</v>
      </c>
      <c r="B811" s="10" t="str">
        <f>"544920230707153050113822"</f>
        <v>544920230707153050113822</v>
      </c>
      <c r="C811" s="10" t="s">
        <v>8</v>
      </c>
      <c r="D811" s="10" t="str">
        <f>"陈金春"</f>
        <v>陈金春</v>
      </c>
      <c r="E811" s="10" t="str">
        <f t="shared" si="34"/>
        <v>女</v>
      </c>
      <c r="F811" s="10"/>
    </row>
    <row r="812" spans="1:6" ht="34.5" customHeight="1">
      <c r="A812" s="9">
        <v>810</v>
      </c>
      <c r="B812" s="10" t="str">
        <f>"544920230708201608117698"</f>
        <v>544920230708201608117698</v>
      </c>
      <c r="C812" s="10" t="s">
        <v>8</v>
      </c>
      <c r="D812" s="10" t="str">
        <f>"曲雅楠"</f>
        <v>曲雅楠</v>
      </c>
      <c r="E812" s="10" t="str">
        <f t="shared" si="34"/>
        <v>女</v>
      </c>
      <c r="F812" s="10"/>
    </row>
    <row r="813" spans="1:6" ht="34.5" customHeight="1">
      <c r="A813" s="9">
        <v>811</v>
      </c>
      <c r="B813" s="10" t="str">
        <f>"544920230708214348117773"</f>
        <v>544920230708214348117773</v>
      </c>
      <c r="C813" s="10" t="s">
        <v>8</v>
      </c>
      <c r="D813" s="10" t="str">
        <f>"陈金翠"</f>
        <v>陈金翠</v>
      </c>
      <c r="E813" s="10" t="str">
        <f t="shared" si="34"/>
        <v>女</v>
      </c>
      <c r="F813" s="10"/>
    </row>
    <row r="814" spans="1:6" ht="34.5" customHeight="1">
      <c r="A814" s="9">
        <v>812</v>
      </c>
      <c r="B814" s="10" t="str">
        <f>"544920230708213537117767"</f>
        <v>544920230708213537117767</v>
      </c>
      <c r="C814" s="10" t="s">
        <v>8</v>
      </c>
      <c r="D814" s="10" t="str">
        <f>"邢彩芳"</f>
        <v>邢彩芳</v>
      </c>
      <c r="E814" s="10" t="str">
        <f t="shared" si="34"/>
        <v>女</v>
      </c>
      <c r="F814" s="10"/>
    </row>
    <row r="815" spans="1:6" ht="34.5" customHeight="1">
      <c r="A815" s="9">
        <v>813</v>
      </c>
      <c r="B815" s="10" t="str">
        <f>"544920230708225321117827"</f>
        <v>544920230708225321117827</v>
      </c>
      <c r="C815" s="10" t="s">
        <v>8</v>
      </c>
      <c r="D815" s="10" t="str">
        <f>"吴阿明"</f>
        <v>吴阿明</v>
      </c>
      <c r="E815" s="10" t="str">
        <f t="shared" si="34"/>
        <v>女</v>
      </c>
      <c r="F815" s="10"/>
    </row>
    <row r="816" spans="1:6" ht="34.5" customHeight="1">
      <c r="A816" s="9">
        <v>814</v>
      </c>
      <c r="B816" s="10" t="str">
        <f>"544920230708225042117823"</f>
        <v>544920230708225042117823</v>
      </c>
      <c r="C816" s="10" t="s">
        <v>8</v>
      </c>
      <c r="D816" s="10" t="str">
        <f>"詹婕妍"</f>
        <v>詹婕妍</v>
      </c>
      <c r="E816" s="10" t="str">
        <f t="shared" si="34"/>
        <v>女</v>
      </c>
      <c r="F816" s="10"/>
    </row>
    <row r="817" spans="1:6" ht="34.5" customHeight="1">
      <c r="A817" s="9">
        <v>815</v>
      </c>
      <c r="B817" s="10" t="str">
        <f>"544920230708231704117854"</f>
        <v>544920230708231704117854</v>
      </c>
      <c r="C817" s="10" t="s">
        <v>8</v>
      </c>
      <c r="D817" s="10" t="str">
        <f>"包兵兵"</f>
        <v>包兵兵</v>
      </c>
      <c r="E817" s="10" t="str">
        <f>"男"</f>
        <v>男</v>
      </c>
      <c r="F817" s="10"/>
    </row>
    <row r="818" spans="1:6" ht="34.5" customHeight="1">
      <c r="A818" s="9">
        <v>816</v>
      </c>
      <c r="B818" s="10" t="str">
        <f>"544920230708111430116255"</f>
        <v>544920230708111430116255</v>
      </c>
      <c r="C818" s="10" t="s">
        <v>8</v>
      </c>
      <c r="D818" s="10" t="str">
        <f>"麦传泽"</f>
        <v>麦传泽</v>
      </c>
      <c r="E818" s="10" t="str">
        <f>"男"</f>
        <v>男</v>
      </c>
      <c r="F818" s="10"/>
    </row>
    <row r="819" spans="1:6" ht="34.5" customHeight="1">
      <c r="A819" s="9">
        <v>817</v>
      </c>
      <c r="B819" s="10" t="str">
        <f>"544920230709104746117998"</f>
        <v>544920230709104746117998</v>
      </c>
      <c r="C819" s="10" t="s">
        <v>8</v>
      </c>
      <c r="D819" s="10" t="str">
        <f>"罗凡"</f>
        <v>罗凡</v>
      </c>
      <c r="E819" s="10" t="str">
        <f aca="true" t="shared" si="35" ref="E819:E832">"女"</f>
        <v>女</v>
      </c>
      <c r="F819" s="10"/>
    </row>
    <row r="820" spans="1:6" ht="34.5" customHeight="1">
      <c r="A820" s="9">
        <v>818</v>
      </c>
      <c r="B820" s="10" t="str">
        <f>"544920230709113523118035"</f>
        <v>544920230709113523118035</v>
      </c>
      <c r="C820" s="10" t="s">
        <v>8</v>
      </c>
      <c r="D820" s="10" t="str">
        <f>"杨亚妹"</f>
        <v>杨亚妹</v>
      </c>
      <c r="E820" s="10" t="str">
        <f t="shared" si="35"/>
        <v>女</v>
      </c>
      <c r="F820" s="10"/>
    </row>
    <row r="821" spans="1:6" ht="34.5" customHeight="1">
      <c r="A821" s="9">
        <v>819</v>
      </c>
      <c r="B821" s="10" t="str">
        <f>"544920230709121903118056"</f>
        <v>544920230709121903118056</v>
      </c>
      <c r="C821" s="10" t="s">
        <v>8</v>
      </c>
      <c r="D821" s="10" t="str">
        <f>"吕云艳"</f>
        <v>吕云艳</v>
      </c>
      <c r="E821" s="10" t="str">
        <f t="shared" si="35"/>
        <v>女</v>
      </c>
      <c r="F821" s="10"/>
    </row>
    <row r="822" spans="1:6" ht="34.5" customHeight="1">
      <c r="A822" s="9">
        <v>820</v>
      </c>
      <c r="B822" s="10" t="str">
        <f>"544920230709124806118071"</f>
        <v>544920230709124806118071</v>
      </c>
      <c r="C822" s="10" t="s">
        <v>8</v>
      </c>
      <c r="D822" s="10" t="str">
        <f>"董先先"</f>
        <v>董先先</v>
      </c>
      <c r="E822" s="10" t="str">
        <f t="shared" si="35"/>
        <v>女</v>
      </c>
      <c r="F822" s="10"/>
    </row>
    <row r="823" spans="1:6" ht="34.5" customHeight="1">
      <c r="A823" s="9">
        <v>821</v>
      </c>
      <c r="B823" s="10" t="str">
        <f>"544920230708143939116977"</f>
        <v>544920230708143939116977</v>
      </c>
      <c r="C823" s="10" t="s">
        <v>8</v>
      </c>
      <c r="D823" s="10" t="str">
        <f>"韦如"</f>
        <v>韦如</v>
      </c>
      <c r="E823" s="10" t="str">
        <f t="shared" si="35"/>
        <v>女</v>
      </c>
      <c r="F823" s="10"/>
    </row>
    <row r="824" spans="1:6" ht="34.5" customHeight="1">
      <c r="A824" s="9">
        <v>822</v>
      </c>
      <c r="B824" s="10" t="str">
        <f>"544920230709154314118167"</f>
        <v>544920230709154314118167</v>
      </c>
      <c r="C824" s="10" t="s">
        <v>8</v>
      </c>
      <c r="D824" s="10" t="str">
        <f>"吴文静"</f>
        <v>吴文静</v>
      </c>
      <c r="E824" s="10" t="str">
        <f t="shared" si="35"/>
        <v>女</v>
      </c>
      <c r="F824" s="10"/>
    </row>
    <row r="825" spans="1:6" ht="34.5" customHeight="1">
      <c r="A825" s="9">
        <v>823</v>
      </c>
      <c r="B825" s="10" t="str">
        <f>"544920230709174715118265"</f>
        <v>544920230709174715118265</v>
      </c>
      <c r="C825" s="10" t="s">
        <v>8</v>
      </c>
      <c r="D825" s="10" t="str">
        <f>"黄雯佳"</f>
        <v>黄雯佳</v>
      </c>
      <c r="E825" s="10" t="str">
        <f t="shared" si="35"/>
        <v>女</v>
      </c>
      <c r="F825" s="10"/>
    </row>
    <row r="826" spans="1:6" ht="34.5" customHeight="1">
      <c r="A826" s="9">
        <v>824</v>
      </c>
      <c r="B826" s="10" t="str">
        <f>"544920230706224039111246"</f>
        <v>544920230706224039111246</v>
      </c>
      <c r="C826" s="10" t="s">
        <v>8</v>
      </c>
      <c r="D826" s="10" t="str">
        <f>"邹银银"</f>
        <v>邹银银</v>
      </c>
      <c r="E826" s="10" t="str">
        <f t="shared" si="35"/>
        <v>女</v>
      </c>
      <c r="F826" s="10"/>
    </row>
    <row r="827" spans="1:6" ht="34.5" customHeight="1">
      <c r="A827" s="9">
        <v>825</v>
      </c>
      <c r="B827" s="10" t="str">
        <f>"544920230705104159104193"</f>
        <v>544920230705104159104193</v>
      </c>
      <c r="C827" s="10" t="s">
        <v>8</v>
      </c>
      <c r="D827" s="10" t="str">
        <f>"符丽敏"</f>
        <v>符丽敏</v>
      </c>
      <c r="E827" s="10" t="str">
        <f t="shared" si="35"/>
        <v>女</v>
      </c>
      <c r="F827" s="10"/>
    </row>
    <row r="828" spans="1:6" ht="34.5" customHeight="1">
      <c r="A828" s="9">
        <v>826</v>
      </c>
      <c r="B828" s="10" t="str">
        <f>"544920230709200223118345"</f>
        <v>544920230709200223118345</v>
      </c>
      <c r="C828" s="10" t="s">
        <v>8</v>
      </c>
      <c r="D828" s="10" t="str">
        <f>"钟瑶"</f>
        <v>钟瑶</v>
      </c>
      <c r="E828" s="10" t="str">
        <f t="shared" si="35"/>
        <v>女</v>
      </c>
      <c r="F828" s="10"/>
    </row>
    <row r="829" spans="1:6" ht="34.5" customHeight="1">
      <c r="A829" s="9">
        <v>827</v>
      </c>
      <c r="B829" s="10" t="str">
        <f>"544920230709211520118416"</f>
        <v>544920230709211520118416</v>
      </c>
      <c r="C829" s="10" t="s">
        <v>8</v>
      </c>
      <c r="D829" s="10" t="str">
        <f>"陈巧花"</f>
        <v>陈巧花</v>
      </c>
      <c r="E829" s="10" t="str">
        <f t="shared" si="35"/>
        <v>女</v>
      </c>
      <c r="F829" s="10"/>
    </row>
    <row r="830" spans="1:6" ht="34.5" customHeight="1">
      <c r="A830" s="9">
        <v>828</v>
      </c>
      <c r="B830" s="10" t="str">
        <f>"544920230709213308118429"</f>
        <v>544920230709213308118429</v>
      </c>
      <c r="C830" s="10" t="s">
        <v>8</v>
      </c>
      <c r="D830" s="10" t="str">
        <f>"吕秋妹"</f>
        <v>吕秋妹</v>
      </c>
      <c r="E830" s="10" t="str">
        <f t="shared" si="35"/>
        <v>女</v>
      </c>
      <c r="F830" s="10"/>
    </row>
    <row r="831" spans="1:6" ht="34.5" customHeight="1">
      <c r="A831" s="9">
        <v>829</v>
      </c>
      <c r="B831" s="10" t="str">
        <f>"544920230709213629118434"</f>
        <v>544920230709213629118434</v>
      </c>
      <c r="C831" s="10" t="s">
        <v>8</v>
      </c>
      <c r="D831" s="10" t="str">
        <f>"周琼丽"</f>
        <v>周琼丽</v>
      </c>
      <c r="E831" s="10" t="str">
        <f t="shared" si="35"/>
        <v>女</v>
      </c>
      <c r="F831" s="10"/>
    </row>
    <row r="832" spans="1:6" ht="34.5" customHeight="1">
      <c r="A832" s="9">
        <v>830</v>
      </c>
      <c r="B832" s="10" t="str">
        <f>"544920230709101817117979"</f>
        <v>544920230709101817117979</v>
      </c>
      <c r="C832" s="10" t="s">
        <v>8</v>
      </c>
      <c r="D832" s="10" t="str">
        <f>"吴欣徽"</f>
        <v>吴欣徽</v>
      </c>
      <c r="E832" s="10" t="str">
        <f t="shared" si="35"/>
        <v>女</v>
      </c>
      <c r="F832" s="10"/>
    </row>
    <row r="833" spans="1:6" ht="34.5" customHeight="1">
      <c r="A833" s="9">
        <v>831</v>
      </c>
      <c r="B833" s="10" t="str">
        <f>"544920230709213740118435"</f>
        <v>544920230709213740118435</v>
      </c>
      <c r="C833" s="10" t="s">
        <v>8</v>
      </c>
      <c r="D833" s="10" t="str">
        <f>"周德志"</f>
        <v>周德志</v>
      </c>
      <c r="E833" s="10" t="str">
        <f>"男"</f>
        <v>男</v>
      </c>
      <c r="F833" s="10"/>
    </row>
    <row r="834" spans="1:6" ht="34.5" customHeight="1">
      <c r="A834" s="9">
        <v>832</v>
      </c>
      <c r="B834" s="10" t="str">
        <f>"544920230704212333103117"</f>
        <v>544920230704212333103117</v>
      </c>
      <c r="C834" s="10" t="s">
        <v>8</v>
      </c>
      <c r="D834" s="10" t="str">
        <f>"庞华"</f>
        <v>庞华</v>
      </c>
      <c r="E834" s="10" t="str">
        <f aca="true" t="shared" si="36" ref="E834:E851">"女"</f>
        <v>女</v>
      </c>
      <c r="F834" s="10"/>
    </row>
    <row r="835" spans="1:6" ht="34.5" customHeight="1">
      <c r="A835" s="9">
        <v>833</v>
      </c>
      <c r="B835" s="10" t="str">
        <f>"544920230709230410118534"</f>
        <v>544920230709230410118534</v>
      </c>
      <c r="C835" s="10" t="s">
        <v>8</v>
      </c>
      <c r="D835" s="10" t="str">
        <f>"范云婷"</f>
        <v>范云婷</v>
      </c>
      <c r="E835" s="10" t="str">
        <f t="shared" si="36"/>
        <v>女</v>
      </c>
      <c r="F835" s="10"/>
    </row>
    <row r="836" spans="1:6" ht="34.5" customHeight="1">
      <c r="A836" s="9">
        <v>834</v>
      </c>
      <c r="B836" s="10" t="str">
        <f>"544920230709233939118562"</f>
        <v>544920230709233939118562</v>
      </c>
      <c r="C836" s="10" t="s">
        <v>8</v>
      </c>
      <c r="D836" s="10" t="str">
        <f>"王艳姗"</f>
        <v>王艳姗</v>
      </c>
      <c r="E836" s="10" t="str">
        <f t="shared" si="36"/>
        <v>女</v>
      </c>
      <c r="F836" s="10"/>
    </row>
    <row r="837" spans="1:6" ht="34.5" customHeight="1">
      <c r="A837" s="9">
        <v>835</v>
      </c>
      <c r="B837" s="10" t="str">
        <f>"544920230710073033118634"</f>
        <v>544920230710073033118634</v>
      </c>
      <c r="C837" s="10" t="s">
        <v>8</v>
      </c>
      <c r="D837" s="10" t="str">
        <f>"张乐怡"</f>
        <v>张乐怡</v>
      </c>
      <c r="E837" s="10" t="str">
        <f t="shared" si="36"/>
        <v>女</v>
      </c>
      <c r="F837" s="10"/>
    </row>
    <row r="838" spans="1:6" ht="34.5" customHeight="1">
      <c r="A838" s="9">
        <v>836</v>
      </c>
      <c r="B838" s="10" t="str">
        <f>"544920230710074344118638"</f>
        <v>544920230710074344118638</v>
      </c>
      <c r="C838" s="10" t="s">
        <v>8</v>
      </c>
      <c r="D838" s="10" t="str">
        <f>"林苑"</f>
        <v>林苑</v>
      </c>
      <c r="E838" s="10" t="str">
        <f t="shared" si="36"/>
        <v>女</v>
      </c>
      <c r="F838" s="10"/>
    </row>
    <row r="839" spans="1:6" ht="34.5" customHeight="1">
      <c r="A839" s="9">
        <v>837</v>
      </c>
      <c r="B839" s="10" t="str">
        <f>"544920230709211228118413"</f>
        <v>544920230709211228118413</v>
      </c>
      <c r="C839" s="10" t="s">
        <v>8</v>
      </c>
      <c r="D839" s="10" t="str">
        <f>"黄蓉花"</f>
        <v>黄蓉花</v>
      </c>
      <c r="E839" s="10" t="str">
        <f t="shared" si="36"/>
        <v>女</v>
      </c>
      <c r="F839" s="10"/>
    </row>
    <row r="840" spans="1:6" ht="34.5" customHeight="1">
      <c r="A840" s="9">
        <v>838</v>
      </c>
      <c r="B840" s="10" t="str">
        <f>"544920230706170053109883"</f>
        <v>544920230706170053109883</v>
      </c>
      <c r="C840" s="10" t="s">
        <v>8</v>
      </c>
      <c r="D840" s="10" t="str">
        <f>"王君"</f>
        <v>王君</v>
      </c>
      <c r="E840" s="10" t="str">
        <f t="shared" si="36"/>
        <v>女</v>
      </c>
      <c r="F840" s="10"/>
    </row>
    <row r="841" spans="1:6" ht="34.5" customHeight="1">
      <c r="A841" s="9">
        <v>839</v>
      </c>
      <c r="B841" s="10" t="str">
        <f>"544920230710085543118700"</f>
        <v>544920230710085543118700</v>
      </c>
      <c r="C841" s="10" t="s">
        <v>8</v>
      </c>
      <c r="D841" s="10" t="str">
        <f>"唐小英"</f>
        <v>唐小英</v>
      </c>
      <c r="E841" s="10" t="str">
        <f t="shared" si="36"/>
        <v>女</v>
      </c>
      <c r="F841" s="10"/>
    </row>
    <row r="842" spans="1:6" ht="34.5" customHeight="1">
      <c r="A842" s="9">
        <v>840</v>
      </c>
      <c r="B842" s="10" t="str">
        <f>"544920230710091850118748"</f>
        <v>544920230710091850118748</v>
      </c>
      <c r="C842" s="10" t="s">
        <v>8</v>
      </c>
      <c r="D842" s="10" t="str">
        <f>"陈朝秀"</f>
        <v>陈朝秀</v>
      </c>
      <c r="E842" s="10" t="str">
        <f t="shared" si="36"/>
        <v>女</v>
      </c>
      <c r="F842" s="10"/>
    </row>
    <row r="843" spans="1:6" ht="34.5" customHeight="1">
      <c r="A843" s="9">
        <v>841</v>
      </c>
      <c r="B843" s="10" t="str">
        <f>"544920230710001556118591"</f>
        <v>544920230710001556118591</v>
      </c>
      <c r="C843" s="10" t="s">
        <v>8</v>
      </c>
      <c r="D843" s="10" t="str">
        <f>"羊美月"</f>
        <v>羊美月</v>
      </c>
      <c r="E843" s="10" t="str">
        <f t="shared" si="36"/>
        <v>女</v>
      </c>
      <c r="F843" s="10"/>
    </row>
    <row r="844" spans="1:6" ht="34.5" customHeight="1">
      <c r="A844" s="9">
        <v>842</v>
      </c>
      <c r="B844" s="10" t="str">
        <f>"544920230710074240118637"</f>
        <v>544920230710074240118637</v>
      </c>
      <c r="C844" s="10" t="s">
        <v>8</v>
      </c>
      <c r="D844" s="10" t="str">
        <f>"邢婷婷"</f>
        <v>邢婷婷</v>
      </c>
      <c r="E844" s="10" t="str">
        <f t="shared" si="36"/>
        <v>女</v>
      </c>
      <c r="F844" s="10"/>
    </row>
    <row r="845" spans="1:6" ht="34.5" customHeight="1">
      <c r="A845" s="9">
        <v>843</v>
      </c>
      <c r="B845" s="10" t="str">
        <f>"544920230710101633118857"</f>
        <v>544920230710101633118857</v>
      </c>
      <c r="C845" s="10" t="s">
        <v>8</v>
      </c>
      <c r="D845" s="10" t="str">
        <f>"杨卓婷"</f>
        <v>杨卓婷</v>
      </c>
      <c r="E845" s="10" t="str">
        <f t="shared" si="36"/>
        <v>女</v>
      </c>
      <c r="F845" s="10"/>
    </row>
    <row r="846" spans="1:6" ht="34.5" customHeight="1">
      <c r="A846" s="9">
        <v>844</v>
      </c>
      <c r="B846" s="10" t="str">
        <f>"544920230708181238117611"</f>
        <v>544920230708181238117611</v>
      </c>
      <c r="C846" s="10" t="s">
        <v>8</v>
      </c>
      <c r="D846" s="10" t="str">
        <f>"刘百凤"</f>
        <v>刘百凤</v>
      </c>
      <c r="E846" s="10" t="str">
        <f t="shared" si="36"/>
        <v>女</v>
      </c>
      <c r="F846" s="10"/>
    </row>
    <row r="847" spans="1:6" ht="34.5" customHeight="1">
      <c r="A847" s="9">
        <v>845</v>
      </c>
      <c r="B847" s="10" t="str">
        <f>"544920230710103322118898"</f>
        <v>544920230710103322118898</v>
      </c>
      <c r="C847" s="10" t="s">
        <v>8</v>
      </c>
      <c r="D847" s="10" t="str">
        <f>"王美丹"</f>
        <v>王美丹</v>
      </c>
      <c r="E847" s="10" t="str">
        <f t="shared" si="36"/>
        <v>女</v>
      </c>
      <c r="F847" s="10"/>
    </row>
    <row r="848" spans="1:6" ht="34.5" customHeight="1">
      <c r="A848" s="9">
        <v>846</v>
      </c>
      <c r="B848" s="10" t="str">
        <f>"544920230710100018118832"</f>
        <v>544920230710100018118832</v>
      </c>
      <c r="C848" s="10" t="s">
        <v>8</v>
      </c>
      <c r="D848" s="10" t="str">
        <f>"杨玉玲"</f>
        <v>杨玉玲</v>
      </c>
      <c r="E848" s="10" t="str">
        <f t="shared" si="36"/>
        <v>女</v>
      </c>
      <c r="F848" s="10"/>
    </row>
    <row r="849" spans="1:6" ht="34.5" customHeight="1">
      <c r="A849" s="9">
        <v>847</v>
      </c>
      <c r="B849" s="10" t="str">
        <f>"544920230709225638118527"</f>
        <v>544920230709225638118527</v>
      </c>
      <c r="C849" s="10" t="s">
        <v>8</v>
      </c>
      <c r="D849" s="10" t="str">
        <f>"彭萱逸"</f>
        <v>彭萱逸</v>
      </c>
      <c r="E849" s="10" t="str">
        <f t="shared" si="36"/>
        <v>女</v>
      </c>
      <c r="F849" s="10"/>
    </row>
    <row r="850" spans="1:6" ht="34.5" customHeight="1">
      <c r="A850" s="9">
        <v>848</v>
      </c>
      <c r="B850" s="10" t="str">
        <f>"54492023070317373298715"</f>
        <v>54492023070317373298715</v>
      </c>
      <c r="C850" s="10" t="s">
        <v>8</v>
      </c>
      <c r="D850" s="10" t="str">
        <f>"蔡佳琪"</f>
        <v>蔡佳琪</v>
      </c>
      <c r="E850" s="10" t="str">
        <f t="shared" si="36"/>
        <v>女</v>
      </c>
      <c r="F850" s="10"/>
    </row>
    <row r="851" spans="1:6" ht="34.5" customHeight="1">
      <c r="A851" s="9">
        <v>849</v>
      </c>
      <c r="B851" s="10" t="str">
        <f>"544920230710112330119005"</f>
        <v>544920230710112330119005</v>
      </c>
      <c r="C851" s="10" t="s">
        <v>8</v>
      </c>
      <c r="D851" s="10" t="str">
        <f>"潘孝柳"</f>
        <v>潘孝柳</v>
      </c>
      <c r="E851" s="10" t="str">
        <f t="shared" si="36"/>
        <v>女</v>
      </c>
      <c r="F851" s="10"/>
    </row>
    <row r="852" spans="1:6" ht="34.5" customHeight="1">
      <c r="A852" s="9">
        <v>850</v>
      </c>
      <c r="B852" s="10" t="str">
        <f>"544920230710105533118950"</f>
        <v>544920230710105533118950</v>
      </c>
      <c r="C852" s="10" t="s">
        <v>8</v>
      </c>
      <c r="D852" s="10" t="str">
        <f>"曾亚海"</f>
        <v>曾亚海</v>
      </c>
      <c r="E852" s="10" t="str">
        <f>"男"</f>
        <v>男</v>
      </c>
      <c r="F852" s="10"/>
    </row>
    <row r="853" spans="1:6" ht="34.5" customHeight="1">
      <c r="A853" s="9">
        <v>851</v>
      </c>
      <c r="B853" s="10" t="str">
        <f>"544920230706164821109790"</f>
        <v>544920230706164821109790</v>
      </c>
      <c r="C853" s="10" t="s">
        <v>8</v>
      </c>
      <c r="D853" s="10" t="str">
        <f>"张宝月"</f>
        <v>张宝月</v>
      </c>
      <c r="E853" s="10" t="str">
        <f>"女"</f>
        <v>女</v>
      </c>
      <c r="F853" s="10"/>
    </row>
    <row r="854" spans="1:6" ht="34.5" customHeight="1">
      <c r="A854" s="9">
        <v>852</v>
      </c>
      <c r="B854" s="10" t="str">
        <f>"544920230710101551118855"</f>
        <v>544920230710101551118855</v>
      </c>
      <c r="C854" s="10" t="s">
        <v>8</v>
      </c>
      <c r="D854" s="10" t="str">
        <f>"吴周济"</f>
        <v>吴周济</v>
      </c>
      <c r="E854" s="10" t="str">
        <f>"男"</f>
        <v>男</v>
      </c>
      <c r="F854" s="10"/>
    </row>
    <row r="855" spans="1:6" ht="34.5" customHeight="1">
      <c r="A855" s="9">
        <v>853</v>
      </c>
      <c r="B855" s="10" t="str">
        <f>"544920230710114816119052"</f>
        <v>544920230710114816119052</v>
      </c>
      <c r="C855" s="10" t="s">
        <v>8</v>
      </c>
      <c r="D855" s="10" t="str">
        <f>"秦梦婷"</f>
        <v>秦梦婷</v>
      </c>
      <c r="E855" s="10" t="str">
        <f>"女"</f>
        <v>女</v>
      </c>
      <c r="F855" s="10"/>
    </row>
    <row r="856" spans="1:6" ht="34.5" customHeight="1">
      <c r="A856" s="9">
        <v>854</v>
      </c>
      <c r="B856" s="10" t="str">
        <f>"54492023070207084592795"</f>
        <v>54492023070207084592795</v>
      </c>
      <c r="C856" s="10" t="s">
        <v>9</v>
      </c>
      <c r="D856" s="10" t="str">
        <f>"黄朝静"</f>
        <v>黄朝静</v>
      </c>
      <c r="E856" s="10" t="str">
        <f>"男"</f>
        <v>男</v>
      </c>
      <c r="F856" s="10"/>
    </row>
    <row r="857" spans="1:6" ht="34.5" customHeight="1">
      <c r="A857" s="9">
        <v>855</v>
      </c>
      <c r="B857" s="10" t="str">
        <f>"54492023070209262893007"</f>
        <v>54492023070209262893007</v>
      </c>
      <c r="C857" s="10" t="s">
        <v>9</v>
      </c>
      <c r="D857" s="10" t="str">
        <f>"洪柳英"</f>
        <v>洪柳英</v>
      </c>
      <c r="E857" s="10" t="str">
        <f>"女"</f>
        <v>女</v>
      </c>
      <c r="F857" s="10"/>
    </row>
    <row r="858" spans="1:6" ht="34.5" customHeight="1">
      <c r="A858" s="9">
        <v>856</v>
      </c>
      <c r="B858" s="10" t="str">
        <f>"54492023070209110492976"</f>
        <v>54492023070209110492976</v>
      </c>
      <c r="C858" s="10" t="s">
        <v>9</v>
      </c>
      <c r="D858" s="10" t="str">
        <f>"卢嘉昕"</f>
        <v>卢嘉昕</v>
      </c>
      <c r="E858" s="10" t="str">
        <f aca="true" t="shared" si="37" ref="E858:E881">"男"</f>
        <v>男</v>
      </c>
      <c r="F858" s="10"/>
    </row>
    <row r="859" spans="1:6" ht="34.5" customHeight="1">
      <c r="A859" s="9">
        <v>857</v>
      </c>
      <c r="B859" s="10" t="str">
        <f>"54492023070212071493447"</f>
        <v>54492023070212071493447</v>
      </c>
      <c r="C859" s="10" t="s">
        <v>9</v>
      </c>
      <c r="D859" s="10" t="str">
        <f>"吴绵杰"</f>
        <v>吴绵杰</v>
      </c>
      <c r="E859" s="10" t="str">
        <f t="shared" si="37"/>
        <v>男</v>
      </c>
      <c r="F859" s="10"/>
    </row>
    <row r="860" spans="1:6" ht="34.5" customHeight="1">
      <c r="A860" s="9">
        <v>858</v>
      </c>
      <c r="B860" s="10" t="str">
        <f>"54492023070212084293454"</f>
        <v>54492023070212084293454</v>
      </c>
      <c r="C860" s="10" t="s">
        <v>9</v>
      </c>
      <c r="D860" s="10" t="str">
        <f>"林海威"</f>
        <v>林海威</v>
      </c>
      <c r="E860" s="10" t="str">
        <f t="shared" si="37"/>
        <v>男</v>
      </c>
      <c r="F860" s="10"/>
    </row>
    <row r="861" spans="1:6" ht="34.5" customHeight="1">
      <c r="A861" s="9">
        <v>859</v>
      </c>
      <c r="B861" s="10" t="str">
        <f>"54492023070212043893440"</f>
        <v>54492023070212043893440</v>
      </c>
      <c r="C861" s="10" t="s">
        <v>9</v>
      </c>
      <c r="D861" s="10" t="str">
        <f>"黎启道"</f>
        <v>黎启道</v>
      </c>
      <c r="E861" s="10" t="str">
        <f t="shared" si="37"/>
        <v>男</v>
      </c>
      <c r="F861" s="10"/>
    </row>
    <row r="862" spans="1:6" ht="34.5" customHeight="1">
      <c r="A862" s="9">
        <v>860</v>
      </c>
      <c r="B862" s="10" t="str">
        <f>"54492023070212455693537"</f>
        <v>54492023070212455693537</v>
      </c>
      <c r="C862" s="10" t="s">
        <v>9</v>
      </c>
      <c r="D862" s="10" t="str">
        <f>"黄朝磊"</f>
        <v>黄朝磊</v>
      </c>
      <c r="E862" s="10" t="str">
        <f t="shared" si="37"/>
        <v>男</v>
      </c>
      <c r="F862" s="10"/>
    </row>
    <row r="863" spans="1:6" ht="34.5" customHeight="1">
      <c r="A863" s="9">
        <v>861</v>
      </c>
      <c r="B863" s="10" t="str">
        <f>"54492023070214004793720"</f>
        <v>54492023070214004793720</v>
      </c>
      <c r="C863" s="10" t="s">
        <v>9</v>
      </c>
      <c r="D863" s="10" t="str">
        <f>"羊文龙"</f>
        <v>羊文龙</v>
      </c>
      <c r="E863" s="10" t="str">
        <f t="shared" si="37"/>
        <v>男</v>
      </c>
      <c r="F863" s="10"/>
    </row>
    <row r="864" spans="1:6" ht="34.5" customHeight="1">
      <c r="A864" s="9">
        <v>862</v>
      </c>
      <c r="B864" s="10" t="str">
        <f>"54492023070214330493803"</f>
        <v>54492023070214330493803</v>
      </c>
      <c r="C864" s="10" t="s">
        <v>9</v>
      </c>
      <c r="D864" s="10" t="str">
        <f>"朱荟声"</f>
        <v>朱荟声</v>
      </c>
      <c r="E864" s="10" t="str">
        <f t="shared" si="37"/>
        <v>男</v>
      </c>
      <c r="F864" s="10"/>
    </row>
    <row r="865" spans="1:6" ht="34.5" customHeight="1">
      <c r="A865" s="9">
        <v>863</v>
      </c>
      <c r="B865" s="10" t="str">
        <f>"54492023070213254893638"</f>
        <v>54492023070213254893638</v>
      </c>
      <c r="C865" s="10" t="s">
        <v>9</v>
      </c>
      <c r="D865" s="10" t="str">
        <f>"陈德高"</f>
        <v>陈德高</v>
      </c>
      <c r="E865" s="10" t="str">
        <f t="shared" si="37"/>
        <v>男</v>
      </c>
      <c r="F865" s="10"/>
    </row>
    <row r="866" spans="1:6" ht="34.5" customHeight="1">
      <c r="A866" s="9">
        <v>864</v>
      </c>
      <c r="B866" s="10" t="str">
        <f>"54492023070216121494038"</f>
        <v>54492023070216121494038</v>
      </c>
      <c r="C866" s="10" t="s">
        <v>9</v>
      </c>
      <c r="D866" s="10" t="str">
        <f>"杨剑"</f>
        <v>杨剑</v>
      </c>
      <c r="E866" s="10" t="str">
        <f t="shared" si="37"/>
        <v>男</v>
      </c>
      <c r="F866" s="10"/>
    </row>
    <row r="867" spans="1:6" ht="34.5" customHeight="1">
      <c r="A867" s="9">
        <v>865</v>
      </c>
      <c r="B867" s="10" t="str">
        <f>"54492023070214242493779"</f>
        <v>54492023070214242493779</v>
      </c>
      <c r="C867" s="10" t="s">
        <v>9</v>
      </c>
      <c r="D867" s="10" t="str">
        <f>"符敦旭"</f>
        <v>符敦旭</v>
      </c>
      <c r="E867" s="10" t="str">
        <f t="shared" si="37"/>
        <v>男</v>
      </c>
      <c r="F867" s="10"/>
    </row>
    <row r="868" spans="1:6" ht="34.5" customHeight="1">
      <c r="A868" s="9">
        <v>866</v>
      </c>
      <c r="B868" s="10" t="str">
        <f>"54492023070210542393258"</f>
        <v>54492023070210542393258</v>
      </c>
      <c r="C868" s="10" t="s">
        <v>9</v>
      </c>
      <c r="D868" s="10" t="str">
        <f>"张功清"</f>
        <v>张功清</v>
      </c>
      <c r="E868" s="10" t="str">
        <f t="shared" si="37"/>
        <v>男</v>
      </c>
      <c r="F868" s="10"/>
    </row>
    <row r="869" spans="1:6" ht="34.5" customHeight="1">
      <c r="A869" s="9">
        <v>867</v>
      </c>
      <c r="B869" s="10" t="str">
        <f>"54492023070216370094107"</f>
        <v>54492023070216370094107</v>
      </c>
      <c r="C869" s="10" t="s">
        <v>9</v>
      </c>
      <c r="D869" s="10" t="str">
        <f>"李伟"</f>
        <v>李伟</v>
      </c>
      <c r="E869" s="10" t="str">
        <f t="shared" si="37"/>
        <v>男</v>
      </c>
      <c r="F869" s="10"/>
    </row>
    <row r="870" spans="1:6" ht="34.5" customHeight="1">
      <c r="A870" s="9">
        <v>868</v>
      </c>
      <c r="B870" s="10" t="str">
        <f>"54492023070219474994498"</f>
        <v>54492023070219474994498</v>
      </c>
      <c r="C870" s="10" t="s">
        <v>9</v>
      </c>
      <c r="D870" s="10" t="str">
        <f>"刘学宁"</f>
        <v>刘学宁</v>
      </c>
      <c r="E870" s="10" t="str">
        <f t="shared" si="37"/>
        <v>男</v>
      </c>
      <c r="F870" s="10"/>
    </row>
    <row r="871" spans="1:6" ht="34.5" customHeight="1">
      <c r="A871" s="9">
        <v>869</v>
      </c>
      <c r="B871" s="10" t="str">
        <f>"54492023070220401994610"</f>
        <v>54492023070220401994610</v>
      </c>
      <c r="C871" s="10" t="s">
        <v>9</v>
      </c>
      <c r="D871" s="10" t="str">
        <f>"苏俊望"</f>
        <v>苏俊望</v>
      </c>
      <c r="E871" s="10" t="str">
        <f t="shared" si="37"/>
        <v>男</v>
      </c>
      <c r="F871" s="10"/>
    </row>
    <row r="872" spans="1:6" ht="34.5" customHeight="1">
      <c r="A872" s="9">
        <v>870</v>
      </c>
      <c r="B872" s="10" t="str">
        <f>"54492023070221500594821"</f>
        <v>54492023070221500594821</v>
      </c>
      <c r="C872" s="10" t="s">
        <v>9</v>
      </c>
      <c r="D872" s="10" t="str">
        <f>"王子府"</f>
        <v>王子府</v>
      </c>
      <c r="E872" s="10" t="str">
        <f t="shared" si="37"/>
        <v>男</v>
      </c>
      <c r="F872" s="10"/>
    </row>
    <row r="873" spans="1:6" ht="34.5" customHeight="1">
      <c r="A873" s="9">
        <v>871</v>
      </c>
      <c r="B873" s="10" t="str">
        <f>"54492023070221371794788"</f>
        <v>54492023070221371794788</v>
      </c>
      <c r="C873" s="10" t="s">
        <v>9</v>
      </c>
      <c r="D873" s="10" t="str">
        <f>"王海龙"</f>
        <v>王海龙</v>
      </c>
      <c r="E873" s="10" t="str">
        <f t="shared" si="37"/>
        <v>男</v>
      </c>
      <c r="F873" s="10"/>
    </row>
    <row r="874" spans="1:6" ht="34.5" customHeight="1">
      <c r="A874" s="9">
        <v>872</v>
      </c>
      <c r="B874" s="10" t="str">
        <f>"54492023070215573594003"</f>
        <v>54492023070215573594003</v>
      </c>
      <c r="C874" s="10" t="s">
        <v>9</v>
      </c>
      <c r="D874" s="10" t="str">
        <f>"谭必超"</f>
        <v>谭必超</v>
      </c>
      <c r="E874" s="10" t="str">
        <f t="shared" si="37"/>
        <v>男</v>
      </c>
      <c r="F874" s="10"/>
    </row>
    <row r="875" spans="1:6" ht="34.5" customHeight="1">
      <c r="A875" s="9">
        <v>873</v>
      </c>
      <c r="B875" s="10" t="str">
        <f>"54492023070222404594967"</f>
        <v>54492023070222404594967</v>
      </c>
      <c r="C875" s="10" t="s">
        <v>9</v>
      </c>
      <c r="D875" s="10" t="str">
        <f>"简天泽"</f>
        <v>简天泽</v>
      </c>
      <c r="E875" s="10" t="str">
        <f t="shared" si="37"/>
        <v>男</v>
      </c>
      <c r="F875" s="10"/>
    </row>
    <row r="876" spans="1:6" ht="34.5" customHeight="1">
      <c r="A876" s="9">
        <v>874</v>
      </c>
      <c r="B876" s="10" t="str">
        <f>"54492023070222095694886"</f>
        <v>54492023070222095694886</v>
      </c>
      <c r="C876" s="10" t="s">
        <v>9</v>
      </c>
      <c r="D876" s="10" t="str">
        <f>"陶晶"</f>
        <v>陶晶</v>
      </c>
      <c r="E876" s="10" t="str">
        <f t="shared" si="37"/>
        <v>男</v>
      </c>
      <c r="F876" s="10"/>
    </row>
    <row r="877" spans="1:6" ht="34.5" customHeight="1">
      <c r="A877" s="9">
        <v>875</v>
      </c>
      <c r="B877" s="10" t="str">
        <f>"54492023070307112995232"</f>
        <v>54492023070307112995232</v>
      </c>
      <c r="C877" s="10" t="s">
        <v>9</v>
      </c>
      <c r="D877" s="10" t="str">
        <f>"林克平"</f>
        <v>林克平</v>
      </c>
      <c r="E877" s="10" t="str">
        <f t="shared" si="37"/>
        <v>男</v>
      </c>
      <c r="F877" s="10"/>
    </row>
    <row r="878" spans="1:6" ht="34.5" customHeight="1">
      <c r="A878" s="9">
        <v>876</v>
      </c>
      <c r="B878" s="10" t="str">
        <f>"54492023070308435795376"</f>
        <v>54492023070308435795376</v>
      </c>
      <c r="C878" s="10" t="s">
        <v>9</v>
      </c>
      <c r="D878" s="10" t="str">
        <f>"陈真宝"</f>
        <v>陈真宝</v>
      </c>
      <c r="E878" s="10" t="str">
        <f t="shared" si="37"/>
        <v>男</v>
      </c>
      <c r="F878" s="10"/>
    </row>
    <row r="879" spans="1:6" ht="34.5" customHeight="1">
      <c r="A879" s="9">
        <v>877</v>
      </c>
      <c r="B879" s="10" t="str">
        <f>"54492023070309065395549"</f>
        <v>54492023070309065395549</v>
      </c>
      <c r="C879" s="10" t="s">
        <v>9</v>
      </c>
      <c r="D879" s="10" t="str">
        <f>"钟海旭"</f>
        <v>钟海旭</v>
      </c>
      <c r="E879" s="10" t="str">
        <f t="shared" si="37"/>
        <v>男</v>
      </c>
      <c r="F879" s="10"/>
    </row>
    <row r="880" spans="1:6" ht="34.5" customHeight="1">
      <c r="A880" s="9">
        <v>878</v>
      </c>
      <c r="B880" s="10" t="str">
        <f>"54492023070309311895788"</f>
        <v>54492023070309311895788</v>
      </c>
      <c r="C880" s="10" t="s">
        <v>9</v>
      </c>
      <c r="D880" s="10" t="str">
        <f>"陈云辉"</f>
        <v>陈云辉</v>
      </c>
      <c r="E880" s="10" t="str">
        <f t="shared" si="37"/>
        <v>男</v>
      </c>
      <c r="F880" s="10"/>
    </row>
    <row r="881" spans="1:6" ht="34.5" customHeight="1">
      <c r="A881" s="9">
        <v>879</v>
      </c>
      <c r="B881" s="10" t="str">
        <f>"54492023070310165796182"</f>
        <v>54492023070310165796182</v>
      </c>
      <c r="C881" s="10" t="s">
        <v>9</v>
      </c>
      <c r="D881" s="10" t="str">
        <f>"李南健"</f>
        <v>李南健</v>
      </c>
      <c r="E881" s="10" t="str">
        <f t="shared" si="37"/>
        <v>男</v>
      </c>
      <c r="F881" s="10"/>
    </row>
    <row r="882" spans="1:6" ht="34.5" customHeight="1">
      <c r="A882" s="9">
        <v>880</v>
      </c>
      <c r="B882" s="10" t="str">
        <f>"54492023070310152696168"</f>
        <v>54492023070310152696168</v>
      </c>
      <c r="C882" s="10" t="s">
        <v>9</v>
      </c>
      <c r="D882" s="10" t="str">
        <f>"冯秋琼"</f>
        <v>冯秋琼</v>
      </c>
      <c r="E882" s="10" t="str">
        <f>"女"</f>
        <v>女</v>
      </c>
      <c r="F882" s="10"/>
    </row>
    <row r="883" spans="1:6" ht="34.5" customHeight="1">
      <c r="A883" s="9">
        <v>881</v>
      </c>
      <c r="B883" s="10" t="str">
        <f>"54492023070308414695367"</f>
        <v>54492023070308414695367</v>
      </c>
      <c r="C883" s="10" t="s">
        <v>9</v>
      </c>
      <c r="D883" s="10" t="str">
        <f>"陈明召"</f>
        <v>陈明召</v>
      </c>
      <c r="E883" s="10" t="str">
        <f>"女"</f>
        <v>女</v>
      </c>
      <c r="F883" s="10"/>
    </row>
    <row r="884" spans="1:6" ht="34.5" customHeight="1">
      <c r="A884" s="9">
        <v>882</v>
      </c>
      <c r="B884" s="10" t="str">
        <f>"54492023070214015493725"</f>
        <v>54492023070214015493725</v>
      </c>
      <c r="C884" s="10" t="s">
        <v>9</v>
      </c>
      <c r="D884" s="10" t="str">
        <f>"李海南"</f>
        <v>李海南</v>
      </c>
      <c r="E884" s="10" t="str">
        <f>"女"</f>
        <v>女</v>
      </c>
      <c r="F884" s="10"/>
    </row>
    <row r="885" spans="1:6" ht="34.5" customHeight="1">
      <c r="A885" s="9">
        <v>883</v>
      </c>
      <c r="B885" s="10" t="str">
        <f>"54492023070217352394242"</f>
        <v>54492023070217352394242</v>
      </c>
      <c r="C885" s="10" t="s">
        <v>9</v>
      </c>
      <c r="D885" s="10" t="str">
        <f>"胡其伶"</f>
        <v>胡其伶</v>
      </c>
      <c r="E885" s="10" t="str">
        <f>"男"</f>
        <v>男</v>
      </c>
      <c r="F885" s="10"/>
    </row>
    <row r="886" spans="1:6" ht="34.5" customHeight="1">
      <c r="A886" s="9">
        <v>884</v>
      </c>
      <c r="B886" s="10" t="str">
        <f>"54492023070310585496513"</f>
        <v>54492023070310585496513</v>
      </c>
      <c r="C886" s="10" t="s">
        <v>9</v>
      </c>
      <c r="D886" s="10" t="str">
        <f>"林娜"</f>
        <v>林娜</v>
      </c>
      <c r="E886" s="10" t="str">
        <f>"女"</f>
        <v>女</v>
      </c>
      <c r="F886" s="10"/>
    </row>
    <row r="887" spans="1:6" ht="34.5" customHeight="1">
      <c r="A887" s="9">
        <v>885</v>
      </c>
      <c r="B887" s="10" t="str">
        <f>"54492023070217431294263"</f>
        <v>54492023070217431294263</v>
      </c>
      <c r="C887" s="10" t="s">
        <v>9</v>
      </c>
      <c r="D887" s="10" t="str">
        <f>"谭光亮"</f>
        <v>谭光亮</v>
      </c>
      <c r="E887" s="10" t="str">
        <f aca="true" t="shared" si="38" ref="E887:E893">"男"</f>
        <v>男</v>
      </c>
      <c r="F887" s="10"/>
    </row>
    <row r="888" spans="1:6" ht="34.5" customHeight="1">
      <c r="A888" s="9">
        <v>886</v>
      </c>
      <c r="B888" s="10" t="str">
        <f>"54492023070311092796595"</f>
        <v>54492023070311092796595</v>
      </c>
      <c r="C888" s="10" t="s">
        <v>9</v>
      </c>
      <c r="D888" s="10" t="str">
        <f>"陈永弟"</f>
        <v>陈永弟</v>
      </c>
      <c r="E888" s="10" t="str">
        <f t="shared" si="38"/>
        <v>男</v>
      </c>
      <c r="F888" s="10"/>
    </row>
    <row r="889" spans="1:6" ht="34.5" customHeight="1">
      <c r="A889" s="9">
        <v>887</v>
      </c>
      <c r="B889" s="10" t="str">
        <f>"54492023070212320993510"</f>
        <v>54492023070212320993510</v>
      </c>
      <c r="C889" s="10" t="s">
        <v>9</v>
      </c>
      <c r="D889" s="10" t="str">
        <f>"李建辉"</f>
        <v>李建辉</v>
      </c>
      <c r="E889" s="10" t="str">
        <f t="shared" si="38"/>
        <v>男</v>
      </c>
      <c r="F889" s="10"/>
    </row>
    <row r="890" spans="1:6" ht="34.5" customHeight="1">
      <c r="A890" s="9">
        <v>888</v>
      </c>
      <c r="B890" s="10" t="str">
        <f>"54492023070209410293036"</f>
        <v>54492023070209410293036</v>
      </c>
      <c r="C890" s="10" t="s">
        <v>9</v>
      </c>
      <c r="D890" s="10" t="str">
        <f>"刘伟鼎"</f>
        <v>刘伟鼎</v>
      </c>
      <c r="E890" s="10" t="str">
        <f t="shared" si="38"/>
        <v>男</v>
      </c>
      <c r="F890" s="10"/>
    </row>
    <row r="891" spans="1:6" ht="34.5" customHeight="1">
      <c r="A891" s="9">
        <v>889</v>
      </c>
      <c r="B891" s="10" t="str">
        <f>"54492023070312460497166"</f>
        <v>54492023070312460497166</v>
      </c>
      <c r="C891" s="10" t="s">
        <v>9</v>
      </c>
      <c r="D891" s="10" t="str">
        <f>"吴迪"</f>
        <v>吴迪</v>
      </c>
      <c r="E891" s="10" t="str">
        <f t="shared" si="38"/>
        <v>男</v>
      </c>
      <c r="F891" s="10"/>
    </row>
    <row r="892" spans="1:6" ht="34.5" customHeight="1">
      <c r="A892" s="9">
        <v>890</v>
      </c>
      <c r="B892" s="10" t="str">
        <f>"54492023070312555097222"</f>
        <v>54492023070312555097222</v>
      </c>
      <c r="C892" s="10" t="s">
        <v>9</v>
      </c>
      <c r="D892" s="10" t="str">
        <f>"杜鑫涛"</f>
        <v>杜鑫涛</v>
      </c>
      <c r="E892" s="10" t="str">
        <f t="shared" si="38"/>
        <v>男</v>
      </c>
      <c r="F892" s="10"/>
    </row>
    <row r="893" spans="1:6" ht="34.5" customHeight="1">
      <c r="A893" s="9">
        <v>891</v>
      </c>
      <c r="B893" s="10" t="str">
        <f>"54492023070313033197281"</f>
        <v>54492023070313033197281</v>
      </c>
      <c r="C893" s="10" t="s">
        <v>9</v>
      </c>
      <c r="D893" s="10" t="str">
        <f>"陈斌"</f>
        <v>陈斌</v>
      </c>
      <c r="E893" s="10" t="str">
        <f t="shared" si="38"/>
        <v>男</v>
      </c>
      <c r="F893" s="10"/>
    </row>
    <row r="894" spans="1:6" ht="34.5" customHeight="1">
      <c r="A894" s="9">
        <v>892</v>
      </c>
      <c r="B894" s="10" t="str">
        <f>"54492023070211570093416"</f>
        <v>54492023070211570093416</v>
      </c>
      <c r="C894" s="10" t="s">
        <v>9</v>
      </c>
      <c r="D894" s="10" t="str">
        <f>"文雨妃"</f>
        <v>文雨妃</v>
      </c>
      <c r="E894" s="10" t="str">
        <f>"女"</f>
        <v>女</v>
      </c>
      <c r="F894" s="10"/>
    </row>
    <row r="895" spans="1:6" ht="34.5" customHeight="1">
      <c r="A895" s="9">
        <v>893</v>
      </c>
      <c r="B895" s="10" t="str">
        <f>"54492023070313013197259"</f>
        <v>54492023070313013197259</v>
      </c>
      <c r="C895" s="10" t="s">
        <v>9</v>
      </c>
      <c r="D895" s="10" t="str">
        <f>"王雅思"</f>
        <v>王雅思</v>
      </c>
      <c r="E895" s="10" t="str">
        <f>"女"</f>
        <v>女</v>
      </c>
      <c r="F895" s="10"/>
    </row>
    <row r="896" spans="1:6" ht="34.5" customHeight="1">
      <c r="A896" s="9">
        <v>894</v>
      </c>
      <c r="B896" s="10" t="str">
        <f>"54492023070313525997494"</f>
        <v>54492023070313525997494</v>
      </c>
      <c r="C896" s="10" t="s">
        <v>9</v>
      </c>
      <c r="D896" s="10" t="str">
        <f>"梁彩莲"</f>
        <v>梁彩莲</v>
      </c>
      <c r="E896" s="10" t="str">
        <f>"女"</f>
        <v>女</v>
      </c>
      <c r="F896" s="10"/>
    </row>
    <row r="897" spans="1:6" ht="34.5" customHeight="1">
      <c r="A897" s="9">
        <v>895</v>
      </c>
      <c r="B897" s="10" t="str">
        <f>"54492023070314074197537"</f>
        <v>54492023070314074197537</v>
      </c>
      <c r="C897" s="10" t="s">
        <v>9</v>
      </c>
      <c r="D897" s="10" t="str">
        <f>"石造"</f>
        <v>石造</v>
      </c>
      <c r="E897" s="10" t="str">
        <f>"男"</f>
        <v>男</v>
      </c>
      <c r="F897" s="10"/>
    </row>
    <row r="898" spans="1:6" ht="34.5" customHeight="1">
      <c r="A898" s="9">
        <v>896</v>
      </c>
      <c r="B898" s="10" t="str">
        <f>"54492023070314430797692"</f>
        <v>54492023070314430797692</v>
      </c>
      <c r="C898" s="10" t="s">
        <v>9</v>
      </c>
      <c r="D898" s="10" t="str">
        <f>"梁文君"</f>
        <v>梁文君</v>
      </c>
      <c r="E898" s="10" t="str">
        <f>"女"</f>
        <v>女</v>
      </c>
      <c r="F898" s="10"/>
    </row>
    <row r="899" spans="1:6" ht="34.5" customHeight="1">
      <c r="A899" s="9">
        <v>897</v>
      </c>
      <c r="B899" s="10" t="str">
        <f>"54492023070315091297840"</f>
        <v>54492023070315091297840</v>
      </c>
      <c r="C899" s="10" t="s">
        <v>9</v>
      </c>
      <c r="D899" s="10" t="str">
        <f>"陈进影"</f>
        <v>陈进影</v>
      </c>
      <c r="E899" s="10" t="str">
        <f aca="true" t="shared" si="39" ref="E899:E904">"男"</f>
        <v>男</v>
      </c>
      <c r="F899" s="10"/>
    </row>
    <row r="900" spans="1:6" ht="34.5" customHeight="1">
      <c r="A900" s="9">
        <v>898</v>
      </c>
      <c r="B900" s="10" t="str">
        <f>"54492023070310341096316"</f>
        <v>54492023070310341096316</v>
      </c>
      <c r="C900" s="10" t="s">
        <v>9</v>
      </c>
      <c r="D900" s="10" t="str">
        <f>"李经纪"</f>
        <v>李经纪</v>
      </c>
      <c r="E900" s="10" t="str">
        <f t="shared" si="39"/>
        <v>男</v>
      </c>
      <c r="F900" s="10"/>
    </row>
    <row r="901" spans="1:6" ht="34.5" customHeight="1">
      <c r="A901" s="9">
        <v>899</v>
      </c>
      <c r="B901" s="10" t="str">
        <f>"54492023070311013296534"</f>
        <v>54492023070311013296534</v>
      </c>
      <c r="C901" s="10" t="s">
        <v>9</v>
      </c>
      <c r="D901" s="10" t="str">
        <f>"韩小亮"</f>
        <v>韩小亮</v>
      </c>
      <c r="E901" s="10" t="str">
        <f t="shared" si="39"/>
        <v>男</v>
      </c>
      <c r="F901" s="10"/>
    </row>
    <row r="902" spans="1:6" ht="34.5" customHeight="1">
      <c r="A902" s="9">
        <v>900</v>
      </c>
      <c r="B902" s="10" t="str">
        <f>"54492023070315555498149"</f>
        <v>54492023070315555498149</v>
      </c>
      <c r="C902" s="10" t="s">
        <v>9</v>
      </c>
      <c r="D902" s="10" t="str">
        <f>"景欣"</f>
        <v>景欣</v>
      </c>
      <c r="E902" s="10" t="str">
        <f t="shared" si="39"/>
        <v>男</v>
      </c>
      <c r="F902" s="10"/>
    </row>
    <row r="903" spans="1:6" ht="34.5" customHeight="1">
      <c r="A903" s="9">
        <v>901</v>
      </c>
      <c r="B903" s="10" t="str">
        <f>"54492023070311485796837"</f>
        <v>54492023070311485796837</v>
      </c>
      <c r="C903" s="10" t="s">
        <v>9</v>
      </c>
      <c r="D903" s="10" t="str">
        <f>"王振"</f>
        <v>王振</v>
      </c>
      <c r="E903" s="10" t="str">
        <f t="shared" si="39"/>
        <v>男</v>
      </c>
      <c r="F903" s="10"/>
    </row>
    <row r="904" spans="1:6" ht="34.5" customHeight="1">
      <c r="A904" s="9">
        <v>902</v>
      </c>
      <c r="B904" s="10" t="str">
        <f>"54492023070214112393749"</f>
        <v>54492023070214112393749</v>
      </c>
      <c r="C904" s="10" t="s">
        <v>9</v>
      </c>
      <c r="D904" s="10" t="str">
        <f>"张永祥"</f>
        <v>张永祥</v>
      </c>
      <c r="E904" s="10" t="str">
        <f t="shared" si="39"/>
        <v>男</v>
      </c>
      <c r="F904" s="10"/>
    </row>
    <row r="905" spans="1:6" ht="34.5" customHeight="1">
      <c r="A905" s="9">
        <v>903</v>
      </c>
      <c r="B905" s="10" t="str">
        <f>"54492023070316040098196"</f>
        <v>54492023070316040098196</v>
      </c>
      <c r="C905" s="10" t="s">
        <v>9</v>
      </c>
      <c r="D905" s="10" t="str">
        <f>"张万"</f>
        <v>张万</v>
      </c>
      <c r="E905" s="10" t="str">
        <f>"女"</f>
        <v>女</v>
      </c>
      <c r="F905" s="10"/>
    </row>
    <row r="906" spans="1:6" ht="34.5" customHeight="1">
      <c r="A906" s="9">
        <v>904</v>
      </c>
      <c r="B906" s="10" t="str">
        <f>"54492023070317191498622"</f>
        <v>54492023070317191498622</v>
      </c>
      <c r="C906" s="10" t="s">
        <v>9</v>
      </c>
      <c r="D906" s="10" t="str">
        <f>"王文君"</f>
        <v>王文君</v>
      </c>
      <c r="E906" s="10" t="str">
        <f aca="true" t="shared" si="40" ref="E906:E914">"男"</f>
        <v>男</v>
      </c>
      <c r="F906" s="10"/>
    </row>
    <row r="907" spans="1:6" ht="34.5" customHeight="1">
      <c r="A907" s="9">
        <v>905</v>
      </c>
      <c r="B907" s="10" t="str">
        <f>"54492023070310393896362"</f>
        <v>54492023070310393896362</v>
      </c>
      <c r="C907" s="10" t="s">
        <v>9</v>
      </c>
      <c r="D907" s="10" t="str">
        <f>"何家行"</f>
        <v>何家行</v>
      </c>
      <c r="E907" s="10" t="str">
        <f t="shared" si="40"/>
        <v>男</v>
      </c>
      <c r="F907" s="10"/>
    </row>
    <row r="908" spans="1:6" ht="34.5" customHeight="1">
      <c r="A908" s="9">
        <v>906</v>
      </c>
      <c r="B908" s="10" t="str">
        <f>"54492023070313242897385"</f>
        <v>54492023070313242897385</v>
      </c>
      <c r="C908" s="10" t="s">
        <v>9</v>
      </c>
      <c r="D908" s="10" t="str">
        <f>"胡童"</f>
        <v>胡童</v>
      </c>
      <c r="E908" s="10" t="str">
        <f t="shared" si="40"/>
        <v>男</v>
      </c>
      <c r="F908" s="10"/>
    </row>
    <row r="909" spans="1:6" ht="34.5" customHeight="1">
      <c r="A909" s="9">
        <v>907</v>
      </c>
      <c r="B909" s="10" t="str">
        <f>"54492023070319412699152"</f>
        <v>54492023070319412699152</v>
      </c>
      <c r="C909" s="10" t="s">
        <v>9</v>
      </c>
      <c r="D909" s="10" t="str">
        <f>"董长熙"</f>
        <v>董长熙</v>
      </c>
      <c r="E909" s="10" t="str">
        <f t="shared" si="40"/>
        <v>男</v>
      </c>
      <c r="F909" s="10"/>
    </row>
    <row r="910" spans="1:6" ht="34.5" customHeight="1">
      <c r="A910" s="9">
        <v>908</v>
      </c>
      <c r="B910" s="10" t="str">
        <f>"54492023070320314099384"</f>
        <v>54492023070320314099384</v>
      </c>
      <c r="C910" s="10" t="s">
        <v>9</v>
      </c>
      <c r="D910" s="10" t="str">
        <f>"王文标"</f>
        <v>王文标</v>
      </c>
      <c r="E910" s="10" t="str">
        <f t="shared" si="40"/>
        <v>男</v>
      </c>
      <c r="F910" s="10"/>
    </row>
    <row r="911" spans="1:6" ht="34.5" customHeight="1">
      <c r="A911" s="9">
        <v>909</v>
      </c>
      <c r="B911" s="10" t="str">
        <f>"54492023070320211499330"</f>
        <v>54492023070320211499330</v>
      </c>
      <c r="C911" s="10" t="s">
        <v>9</v>
      </c>
      <c r="D911" s="10" t="str">
        <f>"龙丁广"</f>
        <v>龙丁广</v>
      </c>
      <c r="E911" s="10" t="str">
        <f t="shared" si="40"/>
        <v>男</v>
      </c>
      <c r="F911" s="10"/>
    </row>
    <row r="912" spans="1:6" ht="34.5" customHeight="1">
      <c r="A912" s="9">
        <v>910</v>
      </c>
      <c r="B912" s="10" t="str">
        <f>"54492023070218034994298"</f>
        <v>54492023070218034994298</v>
      </c>
      <c r="C912" s="10" t="s">
        <v>9</v>
      </c>
      <c r="D912" s="10" t="str">
        <f>"李荣兴"</f>
        <v>李荣兴</v>
      </c>
      <c r="E912" s="10" t="str">
        <f t="shared" si="40"/>
        <v>男</v>
      </c>
      <c r="F912" s="10"/>
    </row>
    <row r="913" spans="1:6" ht="34.5" customHeight="1">
      <c r="A913" s="9">
        <v>911</v>
      </c>
      <c r="B913" s="10" t="str">
        <f>"544920230703233549100222"</f>
        <v>544920230703233549100222</v>
      </c>
      <c r="C913" s="10" t="s">
        <v>9</v>
      </c>
      <c r="D913" s="10" t="str">
        <f>"陈学怀"</f>
        <v>陈学怀</v>
      </c>
      <c r="E913" s="10" t="str">
        <f t="shared" si="40"/>
        <v>男</v>
      </c>
      <c r="F913" s="10"/>
    </row>
    <row r="914" spans="1:6" ht="34.5" customHeight="1">
      <c r="A914" s="9">
        <v>912</v>
      </c>
      <c r="B914" s="10" t="str">
        <f>"54492023070223442295098"</f>
        <v>54492023070223442295098</v>
      </c>
      <c r="C914" s="10" t="s">
        <v>9</v>
      </c>
      <c r="D914" s="10" t="str">
        <f>"黄朝华"</f>
        <v>黄朝华</v>
      </c>
      <c r="E914" s="10" t="str">
        <f t="shared" si="40"/>
        <v>男</v>
      </c>
      <c r="F914" s="10"/>
    </row>
    <row r="915" spans="1:6" ht="34.5" customHeight="1">
      <c r="A915" s="9">
        <v>913</v>
      </c>
      <c r="B915" s="10" t="str">
        <f>"544920230704001937100322"</f>
        <v>544920230704001937100322</v>
      </c>
      <c r="C915" s="10" t="s">
        <v>9</v>
      </c>
      <c r="D915" s="10" t="str">
        <f>"王玉兰"</f>
        <v>王玉兰</v>
      </c>
      <c r="E915" s="10" t="str">
        <f>"女"</f>
        <v>女</v>
      </c>
      <c r="F915" s="10"/>
    </row>
    <row r="916" spans="1:6" ht="34.5" customHeight="1">
      <c r="A916" s="9">
        <v>914</v>
      </c>
      <c r="B916" s="10" t="str">
        <f>"544920230704004848100355"</f>
        <v>544920230704004848100355</v>
      </c>
      <c r="C916" s="10" t="s">
        <v>9</v>
      </c>
      <c r="D916" s="10" t="str">
        <f>"高剑钧"</f>
        <v>高剑钧</v>
      </c>
      <c r="E916" s="10" t="str">
        <f>"男"</f>
        <v>男</v>
      </c>
      <c r="F916" s="10"/>
    </row>
    <row r="917" spans="1:6" ht="34.5" customHeight="1">
      <c r="A917" s="9">
        <v>915</v>
      </c>
      <c r="B917" s="10" t="str">
        <f>"544920230704093817100896"</f>
        <v>544920230704093817100896</v>
      </c>
      <c r="C917" s="10" t="s">
        <v>9</v>
      </c>
      <c r="D917" s="10" t="str">
        <f>"黄永钢"</f>
        <v>黄永钢</v>
      </c>
      <c r="E917" s="10" t="str">
        <f>"男"</f>
        <v>男</v>
      </c>
      <c r="F917" s="10"/>
    </row>
    <row r="918" spans="1:6" ht="34.5" customHeight="1">
      <c r="A918" s="9">
        <v>916</v>
      </c>
      <c r="B918" s="10" t="str">
        <f>"54492023070320273499357"</f>
        <v>54492023070320273499357</v>
      </c>
      <c r="C918" s="10" t="s">
        <v>9</v>
      </c>
      <c r="D918" s="10" t="str">
        <f>"董少慧"</f>
        <v>董少慧</v>
      </c>
      <c r="E918" s="10" t="str">
        <f>"女"</f>
        <v>女</v>
      </c>
      <c r="F918" s="10"/>
    </row>
    <row r="919" spans="1:6" ht="34.5" customHeight="1">
      <c r="A919" s="9">
        <v>917</v>
      </c>
      <c r="B919" s="10" t="str">
        <f>"544920230704101900101055"</f>
        <v>544920230704101900101055</v>
      </c>
      <c r="C919" s="10" t="s">
        <v>9</v>
      </c>
      <c r="D919" s="10" t="str">
        <f>"王焕标"</f>
        <v>王焕标</v>
      </c>
      <c r="E919" s="10" t="str">
        <f>"男"</f>
        <v>男</v>
      </c>
      <c r="F919" s="10"/>
    </row>
    <row r="920" spans="1:6" ht="34.5" customHeight="1">
      <c r="A920" s="9">
        <v>918</v>
      </c>
      <c r="B920" s="10" t="str">
        <f>"544920230704111433101400"</f>
        <v>544920230704111433101400</v>
      </c>
      <c r="C920" s="10" t="s">
        <v>9</v>
      </c>
      <c r="D920" s="10" t="str">
        <f>"孙耀玮"</f>
        <v>孙耀玮</v>
      </c>
      <c r="E920" s="10" t="str">
        <f>"男"</f>
        <v>男</v>
      </c>
      <c r="F920" s="10"/>
    </row>
    <row r="921" spans="1:6" ht="34.5" customHeight="1">
      <c r="A921" s="9">
        <v>919</v>
      </c>
      <c r="B921" s="10" t="str">
        <f>"544920230704114846101561"</f>
        <v>544920230704114846101561</v>
      </c>
      <c r="C921" s="10" t="s">
        <v>9</v>
      </c>
      <c r="D921" s="10" t="str">
        <f>"云美珍"</f>
        <v>云美珍</v>
      </c>
      <c r="E921" s="10" t="str">
        <f>"女"</f>
        <v>女</v>
      </c>
      <c r="F921" s="10"/>
    </row>
    <row r="922" spans="1:6" ht="34.5" customHeight="1">
      <c r="A922" s="9">
        <v>920</v>
      </c>
      <c r="B922" s="10" t="str">
        <f>"544920230704113630101496"</f>
        <v>544920230704113630101496</v>
      </c>
      <c r="C922" s="10" t="s">
        <v>9</v>
      </c>
      <c r="D922" s="10" t="str">
        <f>"陈一伦"</f>
        <v>陈一伦</v>
      </c>
      <c r="E922" s="10" t="str">
        <f>"男"</f>
        <v>男</v>
      </c>
      <c r="F922" s="10"/>
    </row>
    <row r="923" spans="1:6" ht="34.5" customHeight="1">
      <c r="A923" s="9">
        <v>921</v>
      </c>
      <c r="B923" s="10" t="str">
        <f>"544920230703233624100226"</f>
        <v>544920230703233624100226</v>
      </c>
      <c r="C923" s="10" t="s">
        <v>9</v>
      </c>
      <c r="D923" s="10" t="str">
        <f>"赵美玲"</f>
        <v>赵美玲</v>
      </c>
      <c r="E923" s="10" t="str">
        <f>"女"</f>
        <v>女</v>
      </c>
      <c r="F923" s="10"/>
    </row>
    <row r="924" spans="1:6" ht="34.5" customHeight="1">
      <c r="A924" s="9">
        <v>922</v>
      </c>
      <c r="B924" s="10" t="str">
        <f>"54492023070213073393599"</f>
        <v>54492023070213073393599</v>
      </c>
      <c r="C924" s="10" t="s">
        <v>9</v>
      </c>
      <c r="D924" s="10" t="str">
        <f>"孟开贵"</f>
        <v>孟开贵</v>
      </c>
      <c r="E924" s="10" t="str">
        <f>"男"</f>
        <v>男</v>
      </c>
      <c r="F924" s="10"/>
    </row>
    <row r="925" spans="1:6" ht="34.5" customHeight="1">
      <c r="A925" s="9">
        <v>923</v>
      </c>
      <c r="B925" s="10" t="str">
        <f>"544920230704121925101651"</f>
        <v>544920230704121925101651</v>
      </c>
      <c r="C925" s="10" t="s">
        <v>9</v>
      </c>
      <c r="D925" s="10" t="str">
        <f>"郭庆伟"</f>
        <v>郭庆伟</v>
      </c>
      <c r="E925" s="10" t="str">
        <f>"男"</f>
        <v>男</v>
      </c>
      <c r="F925" s="10"/>
    </row>
    <row r="926" spans="1:6" ht="34.5" customHeight="1">
      <c r="A926" s="9">
        <v>924</v>
      </c>
      <c r="B926" s="10" t="str">
        <f>"544920230704130714101770"</f>
        <v>544920230704130714101770</v>
      </c>
      <c r="C926" s="10" t="s">
        <v>9</v>
      </c>
      <c r="D926" s="10" t="str">
        <f>"杨婷婷"</f>
        <v>杨婷婷</v>
      </c>
      <c r="E926" s="10" t="str">
        <f>"女"</f>
        <v>女</v>
      </c>
      <c r="F926" s="10"/>
    </row>
    <row r="927" spans="1:6" ht="34.5" customHeight="1">
      <c r="A927" s="9">
        <v>925</v>
      </c>
      <c r="B927" s="10" t="str">
        <f>"54492023070209415393037"</f>
        <v>54492023070209415393037</v>
      </c>
      <c r="C927" s="10" t="s">
        <v>9</v>
      </c>
      <c r="D927" s="10" t="str">
        <f>"林方威"</f>
        <v>林方威</v>
      </c>
      <c r="E927" s="10" t="str">
        <f aca="true" t="shared" si="41" ref="E927:E932">"男"</f>
        <v>男</v>
      </c>
      <c r="F927" s="10"/>
    </row>
    <row r="928" spans="1:6" ht="34.5" customHeight="1">
      <c r="A928" s="9">
        <v>926</v>
      </c>
      <c r="B928" s="10" t="str">
        <f>"544920230704132437101805"</f>
        <v>544920230704132437101805</v>
      </c>
      <c r="C928" s="10" t="s">
        <v>9</v>
      </c>
      <c r="D928" s="10" t="str">
        <f>"王学涯"</f>
        <v>王学涯</v>
      </c>
      <c r="E928" s="10" t="str">
        <f t="shared" si="41"/>
        <v>男</v>
      </c>
      <c r="F928" s="10"/>
    </row>
    <row r="929" spans="1:6" ht="34.5" customHeight="1">
      <c r="A929" s="9">
        <v>927</v>
      </c>
      <c r="B929" s="10" t="str">
        <f>"544920230704145441102015"</f>
        <v>544920230704145441102015</v>
      </c>
      <c r="C929" s="10" t="s">
        <v>9</v>
      </c>
      <c r="D929" s="10" t="str">
        <f>"王冲"</f>
        <v>王冲</v>
      </c>
      <c r="E929" s="10" t="str">
        <f t="shared" si="41"/>
        <v>男</v>
      </c>
      <c r="F929" s="10"/>
    </row>
    <row r="930" spans="1:6" ht="34.5" customHeight="1">
      <c r="A930" s="9">
        <v>928</v>
      </c>
      <c r="B930" s="10" t="str">
        <f>"54492023070310472596418"</f>
        <v>54492023070310472596418</v>
      </c>
      <c r="C930" s="10" t="s">
        <v>9</v>
      </c>
      <c r="D930" s="10" t="str">
        <f>"董林杰"</f>
        <v>董林杰</v>
      </c>
      <c r="E930" s="10" t="str">
        <f t="shared" si="41"/>
        <v>男</v>
      </c>
      <c r="F930" s="10"/>
    </row>
    <row r="931" spans="1:6" ht="34.5" customHeight="1">
      <c r="A931" s="9">
        <v>929</v>
      </c>
      <c r="B931" s="10" t="str">
        <f>"544920230704164200102380"</f>
        <v>544920230704164200102380</v>
      </c>
      <c r="C931" s="10" t="s">
        <v>9</v>
      </c>
      <c r="D931" s="10" t="str">
        <f>"黄城程"</f>
        <v>黄城程</v>
      </c>
      <c r="E931" s="10" t="str">
        <f t="shared" si="41"/>
        <v>男</v>
      </c>
      <c r="F931" s="10"/>
    </row>
    <row r="932" spans="1:6" ht="34.5" customHeight="1">
      <c r="A932" s="9">
        <v>930</v>
      </c>
      <c r="B932" s="10" t="str">
        <f>"54492023070317011998533"</f>
        <v>54492023070317011998533</v>
      </c>
      <c r="C932" s="10" t="s">
        <v>9</v>
      </c>
      <c r="D932" s="10" t="str">
        <f>"王航"</f>
        <v>王航</v>
      </c>
      <c r="E932" s="10" t="str">
        <f t="shared" si="41"/>
        <v>男</v>
      </c>
      <c r="F932" s="10"/>
    </row>
    <row r="933" spans="1:6" ht="34.5" customHeight="1">
      <c r="A933" s="9">
        <v>931</v>
      </c>
      <c r="B933" s="10" t="str">
        <f>"544920230704154140102187"</f>
        <v>544920230704154140102187</v>
      </c>
      <c r="C933" s="10" t="s">
        <v>9</v>
      </c>
      <c r="D933" s="10" t="str">
        <f>"陈浪"</f>
        <v>陈浪</v>
      </c>
      <c r="E933" s="10" t="str">
        <f>"女"</f>
        <v>女</v>
      </c>
      <c r="F933" s="10" t="str">
        <f>"身份证后四位为1221"</f>
        <v>身份证后四位为1221</v>
      </c>
    </row>
    <row r="934" spans="1:6" ht="34.5" customHeight="1">
      <c r="A934" s="9">
        <v>932</v>
      </c>
      <c r="B934" s="10" t="str">
        <f>"544920230704172638102534"</f>
        <v>544920230704172638102534</v>
      </c>
      <c r="C934" s="10" t="s">
        <v>9</v>
      </c>
      <c r="D934" s="10" t="str">
        <f>"郑世康"</f>
        <v>郑世康</v>
      </c>
      <c r="E934" s="10" t="str">
        <f>"男"</f>
        <v>男</v>
      </c>
      <c r="F934" s="10"/>
    </row>
    <row r="935" spans="1:6" ht="34.5" customHeight="1">
      <c r="A935" s="9">
        <v>933</v>
      </c>
      <c r="B935" s="10" t="str">
        <f>"54492023070318450598963"</f>
        <v>54492023070318450598963</v>
      </c>
      <c r="C935" s="10" t="s">
        <v>9</v>
      </c>
      <c r="D935" s="10" t="str">
        <f>"蔡兴龙"</f>
        <v>蔡兴龙</v>
      </c>
      <c r="E935" s="10" t="str">
        <f>"男"</f>
        <v>男</v>
      </c>
      <c r="F935" s="10"/>
    </row>
    <row r="936" spans="1:6" ht="34.5" customHeight="1">
      <c r="A936" s="9">
        <v>934</v>
      </c>
      <c r="B936" s="10" t="str">
        <f>"54492023070215323993938"</f>
        <v>54492023070215323993938</v>
      </c>
      <c r="C936" s="10" t="s">
        <v>9</v>
      </c>
      <c r="D936" s="10" t="str">
        <f>"王诗逢"</f>
        <v>王诗逢</v>
      </c>
      <c r="E936" s="10" t="str">
        <f>"男"</f>
        <v>男</v>
      </c>
      <c r="F936" s="10"/>
    </row>
    <row r="937" spans="1:6" ht="34.5" customHeight="1">
      <c r="A937" s="9">
        <v>935</v>
      </c>
      <c r="B937" s="10" t="str">
        <f>"54492023070314483597715"</f>
        <v>54492023070314483597715</v>
      </c>
      <c r="C937" s="10" t="s">
        <v>9</v>
      </c>
      <c r="D937" s="10" t="str">
        <f>"康婕"</f>
        <v>康婕</v>
      </c>
      <c r="E937" s="10" t="str">
        <f>"女"</f>
        <v>女</v>
      </c>
      <c r="F937" s="10"/>
    </row>
    <row r="938" spans="1:6" ht="34.5" customHeight="1">
      <c r="A938" s="9">
        <v>936</v>
      </c>
      <c r="B938" s="10" t="str">
        <f>"54492023070321424999758"</f>
        <v>54492023070321424999758</v>
      </c>
      <c r="C938" s="10" t="s">
        <v>9</v>
      </c>
      <c r="D938" s="10" t="str">
        <f>"王璐瑶"</f>
        <v>王璐瑶</v>
      </c>
      <c r="E938" s="10" t="str">
        <f>"女"</f>
        <v>女</v>
      </c>
      <c r="F938" s="10"/>
    </row>
    <row r="939" spans="1:6" ht="34.5" customHeight="1">
      <c r="A939" s="9">
        <v>937</v>
      </c>
      <c r="B939" s="10" t="str">
        <f>"544920230704230944103385"</f>
        <v>544920230704230944103385</v>
      </c>
      <c r="C939" s="10" t="s">
        <v>9</v>
      </c>
      <c r="D939" s="10" t="str">
        <f>"陈佳佳"</f>
        <v>陈佳佳</v>
      </c>
      <c r="E939" s="10" t="str">
        <f>"女"</f>
        <v>女</v>
      </c>
      <c r="F939" s="10" t="str">
        <f>"身份证后四位为0625"</f>
        <v>身份证后四位为0625</v>
      </c>
    </row>
    <row r="940" spans="1:6" ht="34.5" customHeight="1">
      <c r="A940" s="9">
        <v>938</v>
      </c>
      <c r="B940" s="10" t="str">
        <f>"544920230704234518103435"</f>
        <v>544920230704234518103435</v>
      </c>
      <c r="C940" s="10" t="s">
        <v>9</v>
      </c>
      <c r="D940" s="10" t="str">
        <f>"孙鹏"</f>
        <v>孙鹏</v>
      </c>
      <c r="E940" s="10" t="str">
        <f>"男"</f>
        <v>男</v>
      </c>
      <c r="F940" s="10"/>
    </row>
    <row r="941" spans="1:6" ht="34.5" customHeight="1">
      <c r="A941" s="9">
        <v>939</v>
      </c>
      <c r="B941" s="10" t="str">
        <f>"54492023070217305194235"</f>
        <v>54492023070217305194235</v>
      </c>
      <c r="C941" s="10" t="s">
        <v>9</v>
      </c>
      <c r="D941" s="10" t="str">
        <f>"陈峰"</f>
        <v>陈峰</v>
      </c>
      <c r="E941" s="10" t="str">
        <f>"男"</f>
        <v>男</v>
      </c>
      <c r="F941" s="10"/>
    </row>
    <row r="942" spans="1:6" ht="34.5" customHeight="1">
      <c r="A942" s="9">
        <v>940</v>
      </c>
      <c r="B942" s="10" t="str">
        <f>"544920230705093903103918"</f>
        <v>544920230705093903103918</v>
      </c>
      <c r="C942" s="10" t="s">
        <v>9</v>
      </c>
      <c r="D942" s="10" t="str">
        <f>"桂卫雄"</f>
        <v>桂卫雄</v>
      </c>
      <c r="E942" s="10" t="str">
        <f>"男"</f>
        <v>男</v>
      </c>
      <c r="F942" s="10"/>
    </row>
    <row r="943" spans="1:6" ht="34.5" customHeight="1">
      <c r="A943" s="9">
        <v>941</v>
      </c>
      <c r="B943" s="10" t="str">
        <f>"544920230705094802103954"</f>
        <v>544920230705094802103954</v>
      </c>
      <c r="C943" s="10" t="s">
        <v>9</v>
      </c>
      <c r="D943" s="10" t="str">
        <f>"温道江"</f>
        <v>温道江</v>
      </c>
      <c r="E943" s="10" t="str">
        <f>"男"</f>
        <v>男</v>
      </c>
      <c r="F943" s="10"/>
    </row>
    <row r="944" spans="1:6" ht="34.5" customHeight="1">
      <c r="A944" s="9">
        <v>942</v>
      </c>
      <c r="B944" s="10" t="str">
        <f>"544920230705102537104123"</f>
        <v>544920230705102537104123</v>
      </c>
      <c r="C944" s="10" t="s">
        <v>9</v>
      </c>
      <c r="D944" s="10" t="str">
        <f>"张克松"</f>
        <v>张克松</v>
      </c>
      <c r="E944" s="10" t="str">
        <f>"男"</f>
        <v>男</v>
      </c>
      <c r="F944" s="10"/>
    </row>
    <row r="945" spans="1:6" ht="34.5" customHeight="1">
      <c r="A945" s="9">
        <v>943</v>
      </c>
      <c r="B945" s="10" t="str">
        <f>"544920230705114239104416"</f>
        <v>544920230705114239104416</v>
      </c>
      <c r="C945" s="10" t="s">
        <v>9</v>
      </c>
      <c r="D945" s="10" t="str">
        <f>"符云雨"</f>
        <v>符云雨</v>
      </c>
      <c r="E945" s="10" t="str">
        <f>"女"</f>
        <v>女</v>
      </c>
      <c r="F945" s="10"/>
    </row>
    <row r="946" spans="1:6" ht="34.5" customHeight="1">
      <c r="A946" s="9">
        <v>944</v>
      </c>
      <c r="B946" s="10" t="str">
        <f>"544920230705092206103845"</f>
        <v>544920230705092206103845</v>
      </c>
      <c r="C946" s="10" t="s">
        <v>9</v>
      </c>
      <c r="D946" s="10" t="str">
        <f>"吴永乐"</f>
        <v>吴永乐</v>
      </c>
      <c r="E946" s="10" t="str">
        <f>"男"</f>
        <v>男</v>
      </c>
      <c r="F946" s="10"/>
    </row>
    <row r="947" spans="1:6" ht="34.5" customHeight="1">
      <c r="A947" s="9">
        <v>945</v>
      </c>
      <c r="B947" s="10" t="str">
        <f>"544920230705130345104612"</f>
        <v>544920230705130345104612</v>
      </c>
      <c r="C947" s="10" t="s">
        <v>9</v>
      </c>
      <c r="D947" s="10" t="str">
        <f>"陈善胜"</f>
        <v>陈善胜</v>
      </c>
      <c r="E947" s="10" t="str">
        <f>"男"</f>
        <v>男</v>
      </c>
      <c r="F947" s="10"/>
    </row>
    <row r="948" spans="1:6" ht="34.5" customHeight="1">
      <c r="A948" s="9">
        <v>946</v>
      </c>
      <c r="B948" s="10" t="str">
        <f>"544920230704113748101504"</f>
        <v>544920230704113748101504</v>
      </c>
      <c r="C948" s="10" t="s">
        <v>9</v>
      </c>
      <c r="D948" s="10" t="str">
        <f>"郑紫寒"</f>
        <v>郑紫寒</v>
      </c>
      <c r="E948" s="10" t="str">
        <f>"女"</f>
        <v>女</v>
      </c>
      <c r="F948" s="10"/>
    </row>
    <row r="949" spans="1:6" ht="34.5" customHeight="1">
      <c r="A949" s="9">
        <v>947</v>
      </c>
      <c r="B949" s="10" t="str">
        <f>"544920230704113625101495"</f>
        <v>544920230704113625101495</v>
      </c>
      <c r="C949" s="10" t="s">
        <v>9</v>
      </c>
      <c r="D949" s="10" t="str">
        <f>"黄加佳"</f>
        <v>黄加佳</v>
      </c>
      <c r="E949" s="10" t="str">
        <f>"女"</f>
        <v>女</v>
      </c>
      <c r="F949" s="10"/>
    </row>
    <row r="950" spans="1:6" ht="34.5" customHeight="1">
      <c r="A950" s="9">
        <v>948</v>
      </c>
      <c r="B950" s="10" t="str">
        <f>"544920230705142645104762"</f>
        <v>544920230705142645104762</v>
      </c>
      <c r="C950" s="10" t="s">
        <v>9</v>
      </c>
      <c r="D950" s="10" t="str">
        <f>"刘洋"</f>
        <v>刘洋</v>
      </c>
      <c r="E950" s="10" t="str">
        <f>"男"</f>
        <v>男</v>
      </c>
      <c r="F950" s="10"/>
    </row>
    <row r="951" spans="1:6" ht="34.5" customHeight="1">
      <c r="A951" s="9">
        <v>949</v>
      </c>
      <c r="B951" s="10" t="str">
        <f>"544920230705160655105068"</f>
        <v>544920230705160655105068</v>
      </c>
      <c r="C951" s="10" t="s">
        <v>9</v>
      </c>
      <c r="D951" s="10" t="str">
        <f>"陈晓玲"</f>
        <v>陈晓玲</v>
      </c>
      <c r="E951" s="10" t="str">
        <f>"女"</f>
        <v>女</v>
      </c>
      <c r="F951" s="10"/>
    </row>
    <row r="952" spans="1:6" ht="34.5" customHeight="1">
      <c r="A952" s="9">
        <v>950</v>
      </c>
      <c r="B952" s="10" t="str">
        <f>"544920230705171034105237"</f>
        <v>544920230705171034105237</v>
      </c>
      <c r="C952" s="10" t="s">
        <v>9</v>
      </c>
      <c r="D952" s="10" t="str">
        <f>"杨玥兴"</f>
        <v>杨玥兴</v>
      </c>
      <c r="E952" s="10" t="str">
        <f aca="true" t="shared" si="42" ref="E952:E958">"男"</f>
        <v>男</v>
      </c>
      <c r="F952" s="10"/>
    </row>
    <row r="953" spans="1:6" ht="34.5" customHeight="1">
      <c r="A953" s="9">
        <v>951</v>
      </c>
      <c r="B953" s="10" t="str">
        <f>"544920230705171549105245"</f>
        <v>544920230705171549105245</v>
      </c>
      <c r="C953" s="10" t="s">
        <v>9</v>
      </c>
      <c r="D953" s="10" t="str">
        <f>"潘仁功"</f>
        <v>潘仁功</v>
      </c>
      <c r="E953" s="10" t="str">
        <f t="shared" si="42"/>
        <v>男</v>
      </c>
      <c r="F953" s="10"/>
    </row>
    <row r="954" spans="1:6" ht="34.5" customHeight="1">
      <c r="A954" s="9">
        <v>952</v>
      </c>
      <c r="B954" s="10" t="str">
        <f>"544920230705180155105317"</f>
        <v>544920230705180155105317</v>
      </c>
      <c r="C954" s="10" t="s">
        <v>9</v>
      </c>
      <c r="D954" s="10" t="str">
        <f>"李明源"</f>
        <v>李明源</v>
      </c>
      <c r="E954" s="10" t="str">
        <f t="shared" si="42"/>
        <v>男</v>
      </c>
      <c r="F954" s="10"/>
    </row>
    <row r="955" spans="1:6" ht="34.5" customHeight="1">
      <c r="A955" s="9">
        <v>953</v>
      </c>
      <c r="B955" s="10" t="str">
        <f>"54492023070212281793497"</f>
        <v>54492023070212281793497</v>
      </c>
      <c r="C955" s="10" t="s">
        <v>9</v>
      </c>
      <c r="D955" s="10" t="str">
        <f>"吴广朗"</f>
        <v>吴广朗</v>
      </c>
      <c r="E955" s="10" t="str">
        <f t="shared" si="42"/>
        <v>男</v>
      </c>
      <c r="F955" s="10"/>
    </row>
    <row r="956" spans="1:6" ht="34.5" customHeight="1">
      <c r="A956" s="9">
        <v>954</v>
      </c>
      <c r="B956" s="10" t="str">
        <f>"544920230705214724105639"</f>
        <v>544920230705214724105639</v>
      </c>
      <c r="C956" s="10" t="s">
        <v>9</v>
      </c>
      <c r="D956" s="10" t="str">
        <f>"李栎宇"</f>
        <v>李栎宇</v>
      </c>
      <c r="E956" s="10" t="str">
        <f t="shared" si="42"/>
        <v>男</v>
      </c>
      <c r="F956" s="10"/>
    </row>
    <row r="957" spans="1:6" ht="34.5" customHeight="1">
      <c r="A957" s="9">
        <v>955</v>
      </c>
      <c r="B957" s="10" t="str">
        <f>"544920230705221433105699"</f>
        <v>544920230705221433105699</v>
      </c>
      <c r="C957" s="10" t="s">
        <v>9</v>
      </c>
      <c r="D957" s="10" t="str">
        <f>"肖丙璐"</f>
        <v>肖丙璐</v>
      </c>
      <c r="E957" s="10" t="str">
        <f t="shared" si="42"/>
        <v>男</v>
      </c>
      <c r="F957" s="10"/>
    </row>
    <row r="958" spans="1:6" ht="34.5" customHeight="1">
      <c r="A958" s="9">
        <v>956</v>
      </c>
      <c r="B958" s="10" t="str">
        <f>"544920230705231023105787"</f>
        <v>544920230705231023105787</v>
      </c>
      <c r="C958" s="10" t="s">
        <v>9</v>
      </c>
      <c r="D958" s="10" t="str">
        <f>"符明通"</f>
        <v>符明通</v>
      </c>
      <c r="E958" s="10" t="str">
        <f t="shared" si="42"/>
        <v>男</v>
      </c>
      <c r="F958" s="10"/>
    </row>
    <row r="959" spans="1:6" ht="34.5" customHeight="1">
      <c r="A959" s="9">
        <v>957</v>
      </c>
      <c r="B959" s="10" t="str">
        <f>"544920230706000306105831"</f>
        <v>544920230706000306105831</v>
      </c>
      <c r="C959" s="10" t="s">
        <v>9</v>
      </c>
      <c r="D959" s="10" t="str">
        <f>"王志愚"</f>
        <v>王志愚</v>
      </c>
      <c r="E959" s="10" t="str">
        <f>"女"</f>
        <v>女</v>
      </c>
      <c r="F959" s="10"/>
    </row>
    <row r="960" spans="1:6" ht="34.5" customHeight="1">
      <c r="A960" s="9">
        <v>958</v>
      </c>
      <c r="B960" s="10" t="str">
        <f>"544920230706034720105875"</f>
        <v>544920230706034720105875</v>
      </c>
      <c r="C960" s="10" t="s">
        <v>9</v>
      </c>
      <c r="D960" s="10" t="str">
        <f>"王先清"</f>
        <v>王先清</v>
      </c>
      <c r="E960" s="10" t="str">
        <f aca="true" t="shared" si="43" ref="E960:E974">"男"</f>
        <v>男</v>
      </c>
      <c r="F960" s="10"/>
    </row>
    <row r="961" spans="1:6" ht="34.5" customHeight="1">
      <c r="A961" s="9">
        <v>959</v>
      </c>
      <c r="B961" s="10" t="str">
        <f>"544920230704174615102577"</f>
        <v>544920230704174615102577</v>
      </c>
      <c r="C961" s="10" t="s">
        <v>9</v>
      </c>
      <c r="D961" s="10" t="str">
        <f>"周王龙"</f>
        <v>周王龙</v>
      </c>
      <c r="E961" s="10" t="str">
        <f t="shared" si="43"/>
        <v>男</v>
      </c>
      <c r="F961" s="10"/>
    </row>
    <row r="962" spans="1:6" ht="34.5" customHeight="1">
      <c r="A962" s="9">
        <v>960</v>
      </c>
      <c r="B962" s="10" t="str">
        <f>"544920230706105345107483"</f>
        <v>544920230706105345107483</v>
      </c>
      <c r="C962" s="10" t="s">
        <v>9</v>
      </c>
      <c r="D962" s="10" t="str">
        <f>"罗家俊"</f>
        <v>罗家俊</v>
      </c>
      <c r="E962" s="10" t="str">
        <f t="shared" si="43"/>
        <v>男</v>
      </c>
      <c r="F962" s="10"/>
    </row>
    <row r="963" spans="1:6" ht="34.5" customHeight="1">
      <c r="A963" s="9">
        <v>961</v>
      </c>
      <c r="B963" s="10" t="str">
        <f>"54492023070214320893800"</f>
        <v>54492023070214320893800</v>
      </c>
      <c r="C963" s="10" t="s">
        <v>9</v>
      </c>
      <c r="D963" s="10" t="str">
        <f>"张文弟"</f>
        <v>张文弟</v>
      </c>
      <c r="E963" s="10" t="str">
        <f t="shared" si="43"/>
        <v>男</v>
      </c>
      <c r="F963" s="10"/>
    </row>
    <row r="964" spans="1:6" ht="34.5" customHeight="1">
      <c r="A964" s="9">
        <v>962</v>
      </c>
      <c r="B964" s="10" t="str">
        <f>"54492023070214005993723"</f>
        <v>54492023070214005993723</v>
      </c>
      <c r="C964" s="10" t="s">
        <v>9</v>
      </c>
      <c r="D964" s="10" t="str">
        <f>"林永财"</f>
        <v>林永财</v>
      </c>
      <c r="E964" s="10" t="str">
        <f t="shared" si="43"/>
        <v>男</v>
      </c>
      <c r="F964" s="10"/>
    </row>
    <row r="965" spans="1:6" ht="34.5" customHeight="1">
      <c r="A965" s="9">
        <v>963</v>
      </c>
      <c r="B965" s="10" t="str">
        <f>"544920230706121045108029"</f>
        <v>544920230706121045108029</v>
      </c>
      <c r="C965" s="10" t="s">
        <v>9</v>
      </c>
      <c r="D965" s="10" t="str">
        <f>"符明理"</f>
        <v>符明理</v>
      </c>
      <c r="E965" s="10" t="str">
        <f t="shared" si="43"/>
        <v>男</v>
      </c>
      <c r="F965" s="10"/>
    </row>
    <row r="966" spans="1:6" ht="34.5" customHeight="1">
      <c r="A966" s="9">
        <v>964</v>
      </c>
      <c r="B966" s="10" t="str">
        <f>"54492023070218510294387"</f>
        <v>54492023070218510294387</v>
      </c>
      <c r="C966" s="10" t="s">
        <v>9</v>
      </c>
      <c r="D966" s="10" t="str">
        <f>"黄家泽"</f>
        <v>黄家泽</v>
      </c>
      <c r="E966" s="10" t="str">
        <f t="shared" si="43"/>
        <v>男</v>
      </c>
      <c r="F966" s="10"/>
    </row>
    <row r="967" spans="1:6" ht="34.5" customHeight="1">
      <c r="A967" s="9">
        <v>965</v>
      </c>
      <c r="B967" s="10" t="str">
        <f>"544920230705131839104638"</f>
        <v>544920230705131839104638</v>
      </c>
      <c r="C967" s="10" t="s">
        <v>9</v>
      </c>
      <c r="D967" s="10" t="str">
        <f>"董学安"</f>
        <v>董学安</v>
      </c>
      <c r="E967" s="10" t="str">
        <f t="shared" si="43"/>
        <v>男</v>
      </c>
      <c r="F967" s="10"/>
    </row>
    <row r="968" spans="1:6" ht="34.5" customHeight="1">
      <c r="A968" s="9">
        <v>966</v>
      </c>
      <c r="B968" s="10" t="str">
        <f>"54492023070215463793976"</f>
        <v>54492023070215463793976</v>
      </c>
      <c r="C968" s="10" t="s">
        <v>9</v>
      </c>
      <c r="D968" s="10" t="str">
        <f>"黄源茂"</f>
        <v>黄源茂</v>
      </c>
      <c r="E968" s="10" t="str">
        <f t="shared" si="43"/>
        <v>男</v>
      </c>
      <c r="F968" s="10"/>
    </row>
    <row r="969" spans="1:6" ht="34.5" customHeight="1">
      <c r="A969" s="9">
        <v>967</v>
      </c>
      <c r="B969" s="10" t="str">
        <f>"544920230705113748104403"</f>
        <v>544920230705113748104403</v>
      </c>
      <c r="C969" s="10" t="s">
        <v>9</v>
      </c>
      <c r="D969" s="10" t="str">
        <f>"陈怀超"</f>
        <v>陈怀超</v>
      </c>
      <c r="E969" s="10" t="str">
        <f t="shared" si="43"/>
        <v>男</v>
      </c>
      <c r="F969" s="10"/>
    </row>
    <row r="970" spans="1:6" ht="34.5" customHeight="1">
      <c r="A970" s="9">
        <v>968</v>
      </c>
      <c r="B970" s="10" t="str">
        <f>"544920230706180049110177"</f>
        <v>544920230706180049110177</v>
      </c>
      <c r="C970" s="10" t="s">
        <v>9</v>
      </c>
      <c r="D970" s="10" t="str">
        <f>"符斌"</f>
        <v>符斌</v>
      </c>
      <c r="E970" s="10" t="str">
        <f t="shared" si="43"/>
        <v>男</v>
      </c>
      <c r="F970" s="10"/>
    </row>
    <row r="971" spans="1:6" ht="34.5" customHeight="1">
      <c r="A971" s="9">
        <v>969</v>
      </c>
      <c r="B971" s="10" t="str">
        <f>"544920230706213423110983"</f>
        <v>544920230706213423110983</v>
      </c>
      <c r="C971" s="10" t="s">
        <v>9</v>
      </c>
      <c r="D971" s="10" t="str">
        <f>"黄亚家"</f>
        <v>黄亚家</v>
      </c>
      <c r="E971" s="10" t="str">
        <f t="shared" si="43"/>
        <v>男</v>
      </c>
      <c r="F971" s="10"/>
    </row>
    <row r="972" spans="1:6" ht="34.5" customHeight="1">
      <c r="A972" s="9">
        <v>970</v>
      </c>
      <c r="B972" s="10" t="str">
        <f>"544920230706215759111085"</f>
        <v>544920230706215759111085</v>
      </c>
      <c r="C972" s="10" t="s">
        <v>9</v>
      </c>
      <c r="D972" s="10" t="str">
        <f>"李豪"</f>
        <v>李豪</v>
      </c>
      <c r="E972" s="10" t="str">
        <f t="shared" si="43"/>
        <v>男</v>
      </c>
      <c r="F972" s="10"/>
    </row>
    <row r="973" spans="1:6" ht="34.5" customHeight="1">
      <c r="A973" s="9">
        <v>971</v>
      </c>
      <c r="B973" s="10" t="str">
        <f>"544920230706223040111212"</f>
        <v>544920230706223040111212</v>
      </c>
      <c r="C973" s="10" t="s">
        <v>9</v>
      </c>
      <c r="D973" s="10" t="str">
        <f>"符英健"</f>
        <v>符英健</v>
      </c>
      <c r="E973" s="10" t="str">
        <f t="shared" si="43"/>
        <v>男</v>
      </c>
      <c r="F973" s="10"/>
    </row>
    <row r="974" spans="1:6" ht="34.5" customHeight="1">
      <c r="A974" s="9">
        <v>972</v>
      </c>
      <c r="B974" s="10" t="str">
        <f>"544920230706231518111355"</f>
        <v>544920230706231518111355</v>
      </c>
      <c r="C974" s="10" t="s">
        <v>9</v>
      </c>
      <c r="D974" s="10" t="str">
        <f>"容才飞"</f>
        <v>容才飞</v>
      </c>
      <c r="E974" s="10" t="str">
        <f t="shared" si="43"/>
        <v>男</v>
      </c>
      <c r="F974" s="10"/>
    </row>
    <row r="975" spans="1:6" ht="34.5" customHeight="1">
      <c r="A975" s="9">
        <v>973</v>
      </c>
      <c r="B975" s="10" t="str">
        <f>"544920230707081330111592"</f>
        <v>544920230707081330111592</v>
      </c>
      <c r="C975" s="10" t="s">
        <v>9</v>
      </c>
      <c r="D975" s="10" t="str">
        <f>"翟晓赛"</f>
        <v>翟晓赛</v>
      </c>
      <c r="E975" s="10" t="str">
        <f>"女"</f>
        <v>女</v>
      </c>
      <c r="F975" s="10"/>
    </row>
    <row r="976" spans="1:6" ht="34.5" customHeight="1">
      <c r="A976" s="9">
        <v>974</v>
      </c>
      <c r="B976" s="10" t="str">
        <f>"544920230706163239109681"</f>
        <v>544920230706163239109681</v>
      </c>
      <c r="C976" s="10" t="s">
        <v>9</v>
      </c>
      <c r="D976" s="10" t="str">
        <f>"符大树"</f>
        <v>符大树</v>
      </c>
      <c r="E976" s="10" t="str">
        <f>"男"</f>
        <v>男</v>
      </c>
      <c r="F976" s="10"/>
    </row>
    <row r="977" spans="1:6" ht="34.5" customHeight="1">
      <c r="A977" s="9">
        <v>975</v>
      </c>
      <c r="B977" s="10" t="str">
        <f>"544920230707093024111922"</f>
        <v>544920230707093024111922</v>
      </c>
      <c r="C977" s="10" t="s">
        <v>9</v>
      </c>
      <c r="D977" s="10" t="str">
        <f>"林寿呈"</f>
        <v>林寿呈</v>
      </c>
      <c r="E977" s="10" t="str">
        <f>"男"</f>
        <v>男</v>
      </c>
      <c r="F977" s="10"/>
    </row>
    <row r="978" spans="1:6" ht="34.5" customHeight="1">
      <c r="A978" s="9">
        <v>976</v>
      </c>
      <c r="B978" s="10" t="str">
        <f>"544920230707092406111879"</f>
        <v>544920230707092406111879</v>
      </c>
      <c r="C978" s="10" t="s">
        <v>9</v>
      </c>
      <c r="D978" s="10" t="str">
        <f>"杨文博"</f>
        <v>杨文博</v>
      </c>
      <c r="E978" s="10" t="str">
        <f>"男"</f>
        <v>男</v>
      </c>
      <c r="F978" s="10"/>
    </row>
    <row r="979" spans="1:6" ht="34.5" customHeight="1">
      <c r="A979" s="9">
        <v>977</v>
      </c>
      <c r="B979" s="10" t="str">
        <f>"544920230707121116112901"</f>
        <v>544920230707121116112901</v>
      </c>
      <c r="C979" s="10" t="s">
        <v>9</v>
      </c>
      <c r="D979" s="10" t="str">
        <f>"陈焕博"</f>
        <v>陈焕博</v>
      </c>
      <c r="E979" s="10" t="str">
        <f>"男"</f>
        <v>男</v>
      </c>
      <c r="F979" s="10"/>
    </row>
    <row r="980" spans="1:6" ht="34.5" customHeight="1">
      <c r="A980" s="9">
        <v>978</v>
      </c>
      <c r="B980" s="10" t="str">
        <f>"544920230704173911102563"</f>
        <v>544920230704173911102563</v>
      </c>
      <c r="C980" s="10" t="s">
        <v>9</v>
      </c>
      <c r="D980" s="10" t="str">
        <f>"梁艳云"</f>
        <v>梁艳云</v>
      </c>
      <c r="E980" s="10" t="str">
        <f>"女"</f>
        <v>女</v>
      </c>
      <c r="F980" s="10"/>
    </row>
    <row r="981" spans="1:6" ht="34.5" customHeight="1">
      <c r="A981" s="9">
        <v>979</v>
      </c>
      <c r="B981" s="10" t="str">
        <f>"544920230707143753113561"</f>
        <v>544920230707143753113561</v>
      </c>
      <c r="C981" s="10" t="s">
        <v>9</v>
      </c>
      <c r="D981" s="10" t="str">
        <f>"赖理智"</f>
        <v>赖理智</v>
      </c>
      <c r="E981" s="10" t="str">
        <f>"男"</f>
        <v>男</v>
      </c>
      <c r="F981" s="10"/>
    </row>
    <row r="982" spans="1:6" ht="34.5" customHeight="1">
      <c r="A982" s="9">
        <v>980</v>
      </c>
      <c r="B982" s="10" t="str">
        <f>"544920230707145125113621"</f>
        <v>544920230707145125113621</v>
      </c>
      <c r="C982" s="10" t="s">
        <v>9</v>
      </c>
      <c r="D982" s="10" t="str">
        <f>"刘必钟"</f>
        <v>刘必钟</v>
      </c>
      <c r="E982" s="10" t="str">
        <f>"男"</f>
        <v>男</v>
      </c>
      <c r="F982" s="10"/>
    </row>
    <row r="983" spans="1:6" ht="34.5" customHeight="1">
      <c r="A983" s="9">
        <v>981</v>
      </c>
      <c r="B983" s="10" t="str">
        <f>"544920230707153817113870"</f>
        <v>544920230707153817113870</v>
      </c>
      <c r="C983" s="10" t="s">
        <v>9</v>
      </c>
      <c r="D983" s="10" t="str">
        <f>"彭熠"</f>
        <v>彭熠</v>
      </c>
      <c r="E983" s="10" t="str">
        <f>"男"</f>
        <v>男</v>
      </c>
      <c r="F983" s="10"/>
    </row>
    <row r="984" spans="1:6" ht="34.5" customHeight="1">
      <c r="A984" s="9">
        <v>982</v>
      </c>
      <c r="B984" s="10" t="str">
        <f>"544920230707152450113789"</f>
        <v>544920230707152450113789</v>
      </c>
      <c r="C984" s="10" t="s">
        <v>9</v>
      </c>
      <c r="D984" s="10" t="str">
        <f>"陈龙飞"</f>
        <v>陈龙飞</v>
      </c>
      <c r="E984" s="10" t="str">
        <f>"男"</f>
        <v>男</v>
      </c>
      <c r="F984" s="10"/>
    </row>
    <row r="985" spans="1:6" ht="34.5" customHeight="1">
      <c r="A985" s="9">
        <v>983</v>
      </c>
      <c r="B985" s="10" t="str">
        <f>"544920230707151555113741"</f>
        <v>544920230707151555113741</v>
      </c>
      <c r="C985" s="10" t="s">
        <v>9</v>
      </c>
      <c r="D985" s="10" t="str">
        <f>"冯新"</f>
        <v>冯新</v>
      </c>
      <c r="E985" s="10" t="str">
        <f>"女"</f>
        <v>女</v>
      </c>
      <c r="F985" s="10"/>
    </row>
    <row r="986" spans="1:6" ht="34.5" customHeight="1">
      <c r="A986" s="9">
        <v>984</v>
      </c>
      <c r="B986" s="10" t="str">
        <f>"544920230707191616114694"</f>
        <v>544920230707191616114694</v>
      </c>
      <c r="C986" s="10" t="s">
        <v>9</v>
      </c>
      <c r="D986" s="10" t="str">
        <f>"黄启彬"</f>
        <v>黄启彬</v>
      </c>
      <c r="E986" s="10" t="str">
        <f>"男"</f>
        <v>男</v>
      </c>
      <c r="F986" s="10"/>
    </row>
    <row r="987" spans="1:6" ht="34.5" customHeight="1">
      <c r="A987" s="9">
        <v>985</v>
      </c>
      <c r="B987" s="10" t="str">
        <f>"544920230707235728115549"</f>
        <v>544920230707235728115549</v>
      </c>
      <c r="C987" s="10" t="s">
        <v>9</v>
      </c>
      <c r="D987" s="10" t="str">
        <f>"冯宝宇"</f>
        <v>冯宝宇</v>
      </c>
      <c r="E987" s="10" t="str">
        <f>"男"</f>
        <v>男</v>
      </c>
      <c r="F987" s="10"/>
    </row>
    <row r="988" spans="1:6" ht="34.5" customHeight="1">
      <c r="A988" s="9">
        <v>986</v>
      </c>
      <c r="B988" s="10" t="str">
        <f>"544920230708111843116265"</f>
        <v>544920230708111843116265</v>
      </c>
      <c r="C988" s="10" t="s">
        <v>9</v>
      </c>
      <c r="D988" s="10" t="str">
        <f>"张淑婷"</f>
        <v>张淑婷</v>
      </c>
      <c r="E988" s="10" t="str">
        <f>"女"</f>
        <v>女</v>
      </c>
      <c r="F988" s="10"/>
    </row>
    <row r="989" spans="1:6" ht="34.5" customHeight="1">
      <c r="A989" s="9">
        <v>987</v>
      </c>
      <c r="B989" s="10" t="str">
        <f>"54492023070212174293473"</f>
        <v>54492023070212174293473</v>
      </c>
      <c r="C989" s="10" t="s">
        <v>9</v>
      </c>
      <c r="D989" s="10" t="str">
        <f>"屈振业"</f>
        <v>屈振业</v>
      </c>
      <c r="E989" s="10" t="str">
        <f aca="true" t="shared" si="44" ref="E989:E996">"男"</f>
        <v>男</v>
      </c>
      <c r="F989" s="10"/>
    </row>
    <row r="990" spans="1:6" ht="34.5" customHeight="1">
      <c r="A990" s="9">
        <v>988</v>
      </c>
      <c r="B990" s="10" t="str">
        <f>"544920230707010844111486"</f>
        <v>544920230707010844111486</v>
      </c>
      <c r="C990" s="10" t="s">
        <v>9</v>
      </c>
      <c r="D990" s="10" t="str">
        <f>"洪德大"</f>
        <v>洪德大</v>
      </c>
      <c r="E990" s="10" t="str">
        <f t="shared" si="44"/>
        <v>男</v>
      </c>
      <c r="F990" s="10"/>
    </row>
    <row r="991" spans="1:6" ht="34.5" customHeight="1">
      <c r="A991" s="9">
        <v>989</v>
      </c>
      <c r="B991" s="10" t="str">
        <f>"544920230708152936117189"</f>
        <v>544920230708152936117189</v>
      </c>
      <c r="C991" s="10" t="s">
        <v>9</v>
      </c>
      <c r="D991" s="10" t="str">
        <f>"吕子木"</f>
        <v>吕子木</v>
      </c>
      <c r="E991" s="10" t="str">
        <f t="shared" si="44"/>
        <v>男</v>
      </c>
      <c r="F991" s="10"/>
    </row>
    <row r="992" spans="1:6" ht="34.5" customHeight="1">
      <c r="A992" s="9">
        <v>990</v>
      </c>
      <c r="B992" s="10" t="str">
        <f>"544920230708160944117364"</f>
        <v>544920230708160944117364</v>
      </c>
      <c r="C992" s="10" t="s">
        <v>9</v>
      </c>
      <c r="D992" s="10" t="str">
        <f>"韩腾"</f>
        <v>韩腾</v>
      </c>
      <c r="E992" s="10" t="str">
        <f t="shared" si="44"/>
        <v>男</v>
      </c>
      <c r="F992" s="10"/>
    </row>
    <row r="993" spans="1:6" ht="34.5" customHeight="1">
      <c r="A993" s="9">
        <v>991</v>
      </c>
      <c r="B993" s="10" t="str">
        <f>"544920230708174657117594"</f>
        <v>544920230708174657117594</v>
      </c>
      <c r="C993" s="10" t="s">
        <v>9</v>
      </c>
      <c r="D993" s="10" t="str">
        <f>"翁振辉"</f>
        <v>翁振辉</v>
      </c>
      <c r="E993" s="10" t="str">
        <f t="shared" si="44"/>
        <v>男</v>
      </c>
      <c r="F993" s="10"/>
    </row>
    <row r="994" spans="1:6" ht="34.5" customHeight="1">
      <c r="A994" s="9">
        <v>992</v>
      </c>
      <c r="B994" s="10" t="str">
        <f>"544920230707153634113860"</f>
        <v>544920230707153634113860</v>
      </c>
      <c r="C994" s="10" t="s">
        <v>9</v>
      </c>
      <c r="D994" s="10" t="str">
        <f>"邢增熵"</f>
        <v>邢增熵</v>
      </c>
      <c r="E994" s="10" t="str">
        <f t="shared" si="44"/>
        <v>男</v>
      </c>
      <c r="F994" s="10"/>
    </row>
    <row r="995" spans="1:6" ht="34.5" customHeight="1">
      <c r="A995" s="9">
        <v>993</v>
      </c>
      <c r="B995" s="10" t="str">
        <f>"544920230708174839117596"</f>
        <v>544920230708174839117596</v>
      </c>
      <c r="C995" s="10" t="s">
        <v>9</v>
      </c>
      <c r="D995" s="10" t="str">
        <f>"任雪虎"</f>
        <v>任雪虎</v>
      </c>
      <c r="E995" s="10" t="str">
        <f t="shared" si="44"/>
        <v>男</v>
      </c>
      <c r="F995" s="10"/>
    </row>
    <row r="996" spans="1:6" ht="34.5" customHeight="1">
      <c r="A996" s="9">
        <v>994</v>
      </c>
      <c r="B996" s="10" t="str">
        <f>"544920230707102447112295"</f>
        <v>544920230707102447112295</v>
      </c>
      <c r="C996" s="10" t="s">
        <v>9</v>
      </c>
      <c r="D996" s="10" t="str">
        <f>"李腾达"</f>
        <v>李腾达</v>
      </c>
      <c r="E996" s="10" t="str">
        <f t="shared" si="44"/>
        <v>男</v>
      </c>
      <c r="F996" s="10"/>
    </row>
    <row r="997" spans="1:6" ht="34.5" customHeight="1">
      <c r="A997" s="9">
        <v>995</v>
      </c>
      <c r="B997" s="10" t="str">
        <f>"544920230708222401117802"</f>
        <v>544920230708222401117802</v>
      </c>
      <c r="C997" s="10" t="s">
        <v>9</v>
      </c>
      <c r="D997" s="10" t="str">
        <f>"林晓凤"</f>
        <v>林晓凤</v>
      </c>
      <c r="E997" s="10" t="str">
        <f>"女"</f>
        <v>女</v>
      </c>
      <c r="F997" s="10" t="str">
        <f>"身份证后四位为0720"</f>
        <v>身份证后四位为0720</v>
      </c>
    </row>
    <row r="998" spans="1:6" ht="34.5" customHeight="1">
      <c r="A998" s="9">
        <v>996</v>
      </c>
      <c r="B998" s="10" t="str">
        <f>"544920230708190331117645"</f>
        <v>544920230708190331117645</v>
      </c>
      <c r="C998" s="10" t="s">
        <v>9</v>
      </c>
      <c r="D998" s="10" t="str">
        <f>"卓跃壮"</f>
        <v>卓跃壮</v>
      </c>
      <c r="E998" s="10" t="str">
        <f>"男"</f>
        <v>男</v>
      </c>
      <c r="F998" s="10"/>
    </row>
    <row r="999" spans="1:6" ht="34.5" customHeight="1">
      <c r="A999" s="9">
        <v>997</v>
      </c>
      <c r="B999" s="10" t="str">
        <f>"544920230709114758118040"</f>
        <v>544920230709114758118040</v>
      </c>
      <c r="C999" s="10" t="s">
        <v>9</v>
      </c>
      <c r="D999" s="10" t="str">
        <f>"孙喜文"</f>
        <v>孙喜文</v>
      </c>
      <c r="E999" s="10" t="str">
        <f>"男"</f>
        <v>男</v>
      </c>
      <c r="F999" s="10"/>
    </row>
    <row r="1000" spans="1:6" ht="34.5" customHeight="1">
      <c r="A1000" s="9">
        <v>998</v>
      </c>
      <c r="B1000" s="10" t="str">
        <f>"544920230709134515118102"</f>
        <v>544920230709134515118102</v>
      </c>
      <c r="C1000" s="10" t="s">
        <v>9</v>
      </c>
      <c r="D1000" s="10" t="str">
        <f>"董怡辛"</f>
        <v>董怡辛</v>
      </c>
      <c r="E1000" s="10" t="str">
        <f>"女"</f>
        <v>女</v>
      </c>
      <c r="F1000" s="10"/>
    </row>
    <row r="1001" spans="1:6" ht="34.5" customHeight="1">
      <c r="A1001" s="9">
        <v>999</v>
      </c>
      <c r="B1001" s="10" t="str">
        <f>"544920230709162010118198"</f>
        <v>544920230709162010118198</v>
      </c>
      <c r="C1001" s="10" t="s">
        <v>9</v>
      </c>
      <c r="D1001" s="10" t="str">
        <f>"陈日徐"</f>
        <v>陈日徐</v>
      </c>
      <c r="E1001" s="10" t="str">
        <f>"男"</f>
        <v>男</v>
      </c>
      <c r="F1001" s="10"/>
    </row>
    <row r="1002" spans="1:6" ht="34.5" customHeight="1">
      <c r="A1002" s="9">
        <v>1000</v>
      </c>
      <c r="B1002" s="10" t="str">
        <f>"544920230709171844118245"</f>
        <v>544920230709171844118245</v>
      </c>
      <c r="C1002" s="10" t="s">
        <v>9</v>
      </c>
      <c r="D1002" s="10" t="str">
        <f>"符岸珠"</f>
        <v>符岸珠</v>
      </c>
      <c r="E1002" s="10" t="str">
        <f>"女"</f>
        <v>女</v>
      </c>
      <c r="F1002" s="10"/>
    </row>
    <row r="1003" spans="1:6" ht="34.5" customHeight="1">
      <c r="A1003" s="9">
        <v>1001</v>
      </c>
      <c r="B1003" s="10" t="str">
        <f>"544920230709180940118277"</f>
        <v>544920230709180940118277</v>
      </c>
      <c r="C1003" s="10" t="s">
        <v>9</v>
      </c>
      <c r="D1003" s="10" t="str">
        <f>"谭晓鉴"</f>
        <v>谭晓鉴</v>
      </c>
      <c r="E1003" s="10" t="str">
        <f>"男"</f>
        <v>男</v>
      </c>
      <c r="F1003" s="10"/>
    </row>
    <row r="1004" spans="1:6" ht="34.5" customHeight="1">
      <c r="A1004" s="9">
        <v>1002</v>
      </c>
      <c r="B1004" s="10" t="str">
        <f>"54492023070313403497449"</f>
        <v>54492023070313403497449</v>
      </c>
      <c r="C1004" s="10" t="s">
        <v>9</v>
      </c>
      <c r="D1004" s="10" t="str">
        <f>"彭玲"</f>
        <v>彭玲</v>
      </c>
      <c r="E1004" s="10" t="str">
        <f>"女"</f>
        <v>女</v>
      </c>
      <c r="F1004" s="10"/>
    </row>
    <row r="1005" spans="1:6" ht="34.5" customHeight="1">
      <c r="A1005" s="9">
        <v>1003</v>
      </c>
      <c r="B1005" s="10" t="str">
        <f>"544920230709202032118359"</f>
        <v>544920230709202032118359</v>
      </c>
      <c r="C1005" s="10" t="s">
        <v>9</v>
      </c>
      <c r="D1005" s="10" t="str">
        <f>"阳柳清"</f>
        <v>阳柳清</v>
      </c>
      <c r="E1005" s="10" t="str">
        <f>"女"</f>
        <v>女</v>
      </c>
      <c r="F1005" s="10"/>
    </row>
    <row r="1006" spans="1:6" ht="34.5" customHeight="1">
      <c r="A1006" s="9">
        <v>1004</v>
      </c>
      <c r="B1006" s="10" t="str">
        <f>"544920230709202700118367"</f>
        <v>544920230709202700118367</v>
      </c>
      <c r="C1006" s="10" t="s">
        <v>9</v>
      </c>
      <c r="D1006" s="10" t="str">
        <f>"黄诚"</f>
        <v>黄诚</v>
      </c>
      <c r="E1006" s="10" t="str">
        <f>"男"</f>
        <v>男</v>
      </c>
      <c r="F1006" s="10"/>
    </row>
    <row r="1007" spans="1:6" ht="34.5" customHeight="1">
      <c r="A1007" s="9">
        <v>1005</v>
      </c>
      <c r="B1007" s="10" t="str">
        <f>"544920230706232527111381"</f>
        <v>544920230706232527111381</v>
      </c>
      <c r="C1007" s="10" t="s">
        <v>9</v>
      </c>
      <c r="D1007" s="10" t="str">
        <f>"陈润鑫"</f>
        <v>陈润鑫</v>
      </c>
      <c r="E1007" s="10" t="str">
        <f>"男"</f>
        <v>男</v>
      </c>
      <c r="F1007" s="10"/>
    </row>
    <row r="1008" spans="1:6" ht="34.5" customHeight="1">
      <c r="A1008" s="9">
        <v>1006</v>
      </c>
      <c r="B1008" s="10" t="str">
        <f>"54492023070216153194056"</f>
        <v>54492023070216153194056</v>
      </c>
      <c r="C1008" s="10" t="s">
        <v>9</v>
      </c>
      <c r="D1008" s="10" t="str">
        <f>" 董江"</f>
        <v> 董江</v>
      </c>
      <c r="E1008" s="10" t="str">
        <f>"男"</f>
        <v>男</v>
      </c>
      <c r="F1008" s="10"/>
    </row>
    <row r="1009" spans="1:6" ht="34.5" customHeight="1">
      <c r="A1009" s="9">
        <v>1007</v>
      </c>
      <c r="B1009" s="10" t="str">
        <f>"544920230709191844118320"</f>
        <v>544920230709191844118320</v>
      </c>
      <c r="C1009" s="10" t="s">
        <v>9</v>
      </c>
      <c r="D1009" s="10" t="str">
        <f>"付秋爽"</f>
        <v>付秋爽</v>
      </c>
      <c r="E1009" s="10" t="str">
        <f>"女"</f>
        <v>女</v>
      </c>
      <c r="F1009" s="10"/>
    </row>
    <row r="1010" spans="1:6" ht="34.5" customHeight="1">
      <c r="A1010" s="9">
        <v>1008</v>
      </c>
      <c r="B1010" s="10" t="str">
        <f>"544920230710080642118648"</f>
        <v>544920230710080642118648</v>
      </c>
      <c r="C1010" s="10" t="s">
        <v>9</v>
      </c>
      <c r="D1010" s="10" t="str">
        <f>"麦宜鑫"</f>
        <v>麦宜鑫</v>
      </c>
      <c r="E1010" s="10" t="str">
        <f>"男"</f>
        <v>男</v>
      </c>
      <c r="F1010" s="10"/>
    </row>
    <row r="1011" spans="1:6" ht="34.5" customHeight="1">
      <c r="A1011" s="9">
        <v>1009</v>
      </c>
      <c r="B1011" s="10" t="str">
        <f>"544920230710081716118656"</f>
        <v>544920230710081716118656</v>
      </c>
      <c r="C1011" s="10" t="s">
        <v>9</v>
      </c>
      <c r="D1011" s="10" t="str">
        <f>"吴多超"</f>
        <v>吴多超</v>
      </c>
      <c r="E1011" s="10" t="str">
        <f>"男"</f>
        <v>男</v>
      </c>
      <c r="F1011" s="10"/>
    </row>
    <row r="1012" spans="1:6" ht="34.5" customHeight="1">
      <c r="A1012" s="9">
        <v>1010</v>
      </c>
      <c r="B1012" s="10" t="str">
        <f>"544920230710091541118743"</f>
        <v>544920230710091541118743</v>
      </c>
      <c r="C1012" s="10" t="s">
        <v>9</v>
      </c>
      <c r="D1012" s="10" t="str">
        <f>"谢立园"</f>
        <v>谢立园</v>
      </c>
      <c r="E1012" s="10" t="str">
        <f>"女"</f>
        <v>女</v>
      </c>
      <c r="F1012" s="10"/>
    </row>
    <row r="1013" spans="1:6" ht="34.5" customHeight="1">
      <c r="A1013" s="9">
        <v>1011</v>
      </c>
      <c r="B1013" s="10" t="str">
        <f>"544920230710092108118755"</f>
        <v>544920230710092108118755</v>
      </c>
      <c r="C1013" s="10" t="s">
        <v>9</v>
      </c>
      <c r="D1013" s="10" t="str">
        <f>"欧开鹏"</f>
        <v>欧开鹏</v>
      </c>
      <c r="E1013" s="10" t="str">
        <f>"男"</f>
        <v>男</v>
      </c>
      <c r="F1013" s="10"/>
    </row>
    <row r="1014" spans="1:6" ht="34.5" customHeight="1">
      <c r="A1014" s="9">
        <v>1012</v>
      </c>
      <c r="B1014" s="10" t="str">
        <f>"544920230704192734102848"</f>
        <v>544920230704192734102848</v>
      </c>
      <c r="C1014" s="10" t="s">
        <v>9</v>
      </c>
      <c r="D1014" s="10" t="str">
        <f>"郭柄成"</f>
        <v>郭柄成</v>
      </c>
      <c r="E1014" s="10" t="str">
        <f>"男"</f>
        <v>男</v>
      </c>
      <c r="F1014" s="10"/>
    </row>
    <row r="1015" spans="1:6" ht="34.5" customHeight="1">
      <c r="A1015" s="9">
        <v>1013</v>
      </c>
      <c r="B1015" s="10" t="str">
        <f>"544920230710104507118929"</f>
        <v>544920230710104507118929</v>
      </c>
      <c r="C1015" s="10" t="s">
        <v>9</v>
      </c>
      <c r="D1015" s="10" t="str">
        <f>"翁书海"</f>
        <v>翁书海</v>
      </c>
      <c r="E1015" s="10" t="str">
        <f>"男"</f>
        <v>男</v>
      </c>
      <c r="F1015" s="10"/>
    </row>
    <row r="1016" spans="1:6" ht="34.5" customHeight="1">
      <c r="A1016" s="9">
        <v>1014</v>
      </c>
      <c r="B1016" s="10" t="str">
        <f>"544920230710102022118868"</f>
        <v>544920230710102022118868</v>
      </c>
      <c r="C1016" s="10" t="s">
        <v>9</v>
      </c>
      <c r="D1016" s="10" t="str">
        <f>"程钰博"</f>
        <v>程钰博</v>
      </c>
      <c r="E1016" s="10" t="str">
        <f>"男"</f>
        <v>男</v>
      </c>
      <c r="F1016" s="10"/>
    </row>
    <row r="1017" spans="1:6" ht="34.5" customHeight="1">
      <c r="A1017" s="9">
        <v>1015</v>
      </c>
      <c r="B1017" s="10" t="str">
        <f>"544920230710112803119018"</f>
        <v>544920230710112803119018</v>
      </c>
      <c r="C1017" s="10" t="s">
        <v>9</v>
      </c>
      <c r="D1017" s="10" t="str">
        <f>"李克心"</f>
        <v>李克心</v>
      </c>
      <c r="E1017" s="10" t="str">
        <f>"男"</f>
        <v>男</v>
      </c>
      <c r="F1017" s="10"/>
    </row>
    <row r="1018" spans="1:6" ht="34.5" customHeight="1">
      <c r="A1018" s="9">
        <v>1016</v>
      </c>
      <c r="B1018" s="10" t="str">
        <f>"54492023070209344493025"</f>
        <v>54492023070209344493025</v>
      </c>
      <c r="C1018" s="10" t="s">
        <v>10</v>
      </c>
      <c r="D1018" s="10" t="str">
        <f>"蒲燕妃"</f>
        <v>蒲燕妃</v>
      </c>
      <c r="E1018" s="10" t="str">
        <f>"女"</f>
        <v>女</v>
      </c>
      <c r="F1018" s="10"/>
    </row>
    <row r="1019" spans="1:6" ht="34.5" customHeight="1">
      <c r="A1019" s="9">
        <v>1017</v>
      </c>
      <c r="B1019" s="10" t="str">
        <f>"54492023070209505393061"</f>
        <v>54492023070209505393061</v>
      </c>
      <c r="C1019" s="10" t="s">
        <v>10</v>
      </c>
      <c r="D1019" s="10" t="str">
        <f>"蒋馥蔚"</f>
        <v>蒋馥蔚</v>
      </c>
      <c r="E1019" s="10" t="str">
        <f>"女"</f>
        <v>女</v>
      </c>
      <c r="F1019" s="10"/>
    </row>
    <row r="1020" spans="1:6" ht="34.5" customHeight="1">
      <c r="A1020" s="9">
        <v>1018</v>
      </c>
      <c r="B1020" s="10" t="str">
        <f>"54492023070210364393205"</f>
        <v>54492023070210364393205</v>
      </c>
      <c r="C1020" s="10" t="s">
        <v>10</v>
      </c>
      <c r="D1020" s="10" t="str">
        <f>"于逸男"</f>
        <v>于逸男</v>
      </c>
      <c r="E1020" s="10" t="str">
        <f>"女"</f>
        <v>女</v>
      </c>
      <c r="F1020" s="10"/>
    </row>
    <row r="1021" spans="1:6" ht="34.5" customHeight="1">
      <c r="A1021" s="9">
        <v>1019</v>
      </c>
      <c r="B1021" s="10" t="str">
        <f>"54492023070210410893216"</f>
        <v>54492023070210410893216</v>
      </c>
      <c r="C1021" s="10" t="s">
        <v>10</v>
      </c>
      <c r="D1021" s="10" t="str">
        <f>"尚怡达"</f>
        <v>尚怡达</v>
      </c>
      <c r="E1021" s="10" t="str">
        <f>"女"</f>
        <v>女</v>
      </c>
      <c r="F1021" s="10"/>
    </row>
    <row r="1022" spans="1:6" ht="34.5" customHeight="1">
      <c r="A1022" s="9">
        <v>1020</v>
      </c>
      <c r="B1022" s="10" t="str">
        <f>"54492023070212260193493"</f>
        <v>54492023070212260193493</v>
      </c>
      <c r="C1022" s="10" t="s">
        <v>10</v>
      </c>
      <c r="D1022" s="10" t="str">
        <f>"吕伟"</f>
        <v>吕伟</v>
      </c>
      <c r="E1022" s="10" t="str">
        <f>"女"</f>
        <v>女</v>
      </c>
      <c r="F1022" s="10"/>
    </row>
    <row r="1023" spans="1:6" ht="34.5" customHeight="1">
      <c r="A1023" s="9">
        <v>1021</v>
      </c>
      <c r="B1023" s="10" t="str">
        <f>"54492023070212275393495"</f>
        <v>54492023070212275393495</v>
      </c>
      <c r="C1023" s="10" t="s">
        <v>10</v>
      </c>
      <c r="D1023" s="10" t="str">
        <f>"符肖杰"</f>
        <v>符肖杰</v>
      </c>
      <c r="E1023" s="10" t="str">
        <f>"男"</f>
        <v>男</v>
      </c>
      <c r="F1023" s="10"/>
    </row>
    <row r="1024" spans="1:6" ht="34.5" customHeight="1">
      <c r="A1024" s="9">
        <v>1022</v>
      </c>
      <c r="B1024" s="10" t="str">
        <f>"54492023070212062093445"</f>
        <v>54492023070212062093445</v>
      </c>
      <c r="C1024" s="10" t="s">
        <v>10</v>
      </c>
      <c r="D1024" s="10" t="str">
        <f>"王艺彤"</f>
        <v>王艺彤</v>
      </c>
      <c r="E1024" s="10" t="str">
        <f>"女"</f>
        <v>女</v>
      </c>
      <c r="F1024" s="10"/>
    </row>
    <row r="1025" spans="1:6" ht="34.5" customHeight="1">
      <c r="A1025" s="9">
        <v>1023</v>
      </c>
      <c r="B1025" s="10" t="str">
        <f>"54492023070211403493377"</f>
        <v>54492023070211403493377</v>
      </c>
      <c r="C1025" s="10" t="s">
        <v>10</v>
      </c>
      <c r="D1025" s="10" t="str">
        <f>"潘奇"</f>
        <v>潘奇</v>
      </c>
      <c r="E1025" s="10" t="str">
        <f>"女"</f>
        <v>女</v>
      </c>
      <c r="F1025" s="10"/>
    </row>
    <row r="1026" spans="1:6" ht="34.5" customHeight="1">
      <c r="A1026" s="9">
        <v>1024</v>
      </c>
      <c r="B1026" s="10" t="str">
        <f>"54492023070214451893837"</f>
        <v>54492023070214451893837</v>
      </c>
      <c r="C1026" s="10" t="s">
        <v>10</v>
      </c>
      <c r="D1026" s="10" t="str">
        <f>"韩笑"</f>
        <v>韩笑</v>
      </c>
      <c r="E1026" s="10" t="str">
        <f>"女"</f>
        <v>女</v>
      </c>
      <c r="F1026" s="10"/>
    </row>
    <row r="1027" spans="1:6" ht="34.5" customHeight="1">
      <c r="A1027" s="9">
        <v>1025</v>
      </c>
      <c r="B1027" s="10" t="str">
        <f>"54492023070218085694311"</f>
        <v>54492023070218085694311</v>
      </c>
      <c r="C1027" s="10" t="s">
        <v>10</v>
      </c>
      <c r="D1027" s="10" t="str">
        <f>"许韧果"</f>
        <v>许韧果</v>
      </c>
      <c r="E1027" s="10" t="str">
        <f>"女"</f>
        <v>女</v>
      </c>
      <c r="F1027" s="10"/>
    </row>
    <row r="1028" spans="1:6" ht="34.5" customHeight="1">
      <c r="A1028" s="9">
        <v>1026</v>
      </c>
      <c r="B1028" s="10" t="str">
        <f>"54492023070220342794598"</f>
        <v>54492023070220342794598</v>
      </c>
      <c r="C1028" s="10" t="s">
        <v>10</v>
      </c>
      <c r="D1028" s="10" t="str">
        <f>"郑圣强"</f>
        <v>郑圣强</v>
      </c>
      <c r="E1028" s="10" t="str">
        <f>"男"</f>
        <v>男</v>
      </c>
      <c r="F1028" s="10"/>
    </row>
    <row r="1029" spans="1:6" ht="34.5" customHeight="1">
      <c r="A1029" s="9">
        <v>1027</v>
      </c>
      <c r="B1029" s="10" t="str">
        <f>"54492023070220550394651"</f>
        <v>54492023070220550394651</v>
      </c>
      <c r="C1029" s="10" t="s">
        <v>10</v>
      </c>
      <c r="D1029" s="10" t="str">
        <f>"张鹤骞"</f>
        <v>张鹤骞</v>
      </c>
      <c r="E1029" s="10" t="str">
        <f aca="true" t="shared" si="45" ref="E1029:E1034">"女"</f>
        <v>女</v>
      </c>
      <c r="F1029" s="10"/>
    </row>
    <row r="1030" spans="1:6" ht="34.5" customHeight="1">
      <c r="A1030" s="9">
        <v>1028</v>
      </c>
      <c r="B1030" s="10" t="str">
        <f>"54492023070221071794692"</f>
        <v>54492023070221071794692</v>
      </c>
      <c r="C1030" s="10" t="s">
        <v>10</v>
      </c>
      <c r="D1030" s="10" t="str">
        <f>"袁铭锴"</f>
        <v>袁铭锴</v>
      </c>
      <c r="E1030" s="10" t="str">
        <f t="shared" si="45"/>
        <v>女</v>
      </c>
      <c r="F1030" s="10"/>
    </row>
    <row r="1031" spans="1:6" ht="34.5" customHeight="1">
      <c r="A1031" s="9">
        <v>1029</v>
      </c>
      <c r="B1031" s="10" t="str">
        <f>"54492023070221234994743"</f>
        <v>54492023070221234994743</v>
      </c>
      <c r="C1031" s="10" t="s">
        <v>10</v>
      </c>
      <c r="D1031" s="10" t="str">
        <f>"程守慧"</f>
        <v>程守慧</v>
      </c>
      <c r="E1031" s="10" t="str">
        <f t="shared" si="45"/>
        <v>女</v>
      </c>
      <c r="F1031" s="10"/>
    </row>
    <row r="1032" spans="1:6" ht="34.5" customHeight="1">
      <c r="A1032" s="9">
        <v>1030</v>
      </c>
      <c r="B1032" s="10" t="str">
        <f>"54492023070223234695061"</f>
        <v>54492023070223234695061</v>
      </c>
      <c r="C1032" s="10" t="s">
        <v>10</v>
      </c>
      <c r="D1032" s="10" t="str">
        <f>"王思洁"</f>
        <v>王思洁</v>
      </c>
      <c r="E1032" s="10" t="str">
        <f t="shared" si="45"/>
        <v>女</v>
      </c>
      <c r="F1032" s="10"/>
    </row>
    <row r="1033" spans="1:6" ht="34.5" customHeight="1">
      <c r="A1033" s="9">
        <v>1031</v>
      </c>
      <c r="B1033" s="10" t="str">
        <f>"54492023070307485295265"</f>
        <v>54492023070307485295265</v>
      </c>
      <c r="C1033" s="10" t="s">
        <v>10</v>
      </c>
      <c r="D1033" s="10" t="str">
        <f>"陈桂妹"</f>
        <v>陈桂妹</v>
      </c>
      <c r="E1033" s="10" t="str">
        <f t="shared" si="45"/>
        <v>女</v>
      </c>
      <c r="F1033" s="10"/>
    </row>
    <row r="1034" spans="1:6" ht="34.5" customHeight="1">
      <c r="A1034" s="9">
        <v>1032</v>
      </c>
      <c r="B1034" s="10" t="str">
        <f>"54492023070311245296686"</f>
        <v>54492023070311245296686</v>
      </c>
      <c r="C1034" s="10" t="s">
        <v>10</v>
      </c>
      <c r="D1034" s="10" t="str">
        <f>"梁旭阳"</f>
        <v>梁旭阳</v>
      </c>
      <c r="E1034" s="10" t="str">
        <f t="shared" si="45"/>
        <v>女</v>
      </c>
      <c r="F1034" s="10"/>
    </row>
    <row r="1035" spans="1:6" ht="34.5" customHeight="1">
      <c r="A1035" s="9">
        <v>1033</v>
      </c>
      <c r="B1035" s="10" t="str">
        <f>"54492023070312050896909"</f>
        <v>54492023070312050896909</v>
      </c>
      <c r="C1035" s="10" t="s">
        <v>10</v>
      </c>
      <c r="D1035" s="10" t="str">
        <f>"宋若林"</f>
        <v>宋若林</v>
      </c>
      <c r="E1035" s="10" t="str">
        <f>"男"</f>
        <v>男</v>
      </c>
      <c r="F1035" s="10"/>
    </row>
    <row r="1036" spans="1:6" ht="34.5" customHeight="1">
      <c r="A1036" s="9">
        <v>1034</v>
      </c>
      <c r="B1036" s="10" t="str">
        <f>"54492023070311563896870"</f>
        <v>54492023070311563896870</v>
      </c>
      <c r="C1036" s="10" t="s">
        <v>10</v>
      </c>
      <c r="D1036" s="10" t="str">
        <f>"郭瑢"</f>
        <v>郭瑢</v>
      </c>
      <c r="E1036" s="10" t="str">
        <f>"女"</f>
        <v>女</v>
      </c>
      <c r="F1036" s="10"/>
    </row>
    <row r="1037" spans="1:6" ht="34.5" customHeight="1">
      <c r="A1037" s="9">
        <v>1035</v>
      </c>
      <c r="B1037" s="10" t="str">
        <f>"54492023070215413693960"</f>
        <v>54492023070215413693960</v>
      </c>
      <c r="C1037" s="10" t="s">
        <v>10</v>
      </c>
      <c r="D1037" s="10" t="str">
        <f>"秦壮"</f>
        <v>秦壮</v>
      </c>
      <c r="E1037" s="10" t="str">
        <f>"男"</f>
        <v>男</v>
      </c>
      <c r="F1037" s="10"/>
    </row>
    <row r="1038" spans="1:6" ht="34.5" customHeight="1">
      <c r="A1038" s="9">
        <v>1036</v>
      </c>
      <c r="B1038" s="10" t="str">
        <f>"54492023070313052297290"</f>
        <v>54492023070313052297290</v>
      </c>
      <c r="C1038" s="10" t="s">
        <v>10</v>
      </c>
      <c r="D1038" s="10" t="str">
        <f>"徐千雯"</f>
        <v>徐千雯</v>
      </c>
      <c r="E1038" s="10" t="str">
        <f aca="true" t="shared" si="46" ref="E1038:E1045">"女"</f>
        <v>女</v>
      </c>
      <c r="F1038" s="10"/>
    </row>
    <row r="1039" spans="1:6" ht="34.5" customHeight="1">
      <c r="A1039" s="9">
        <v>1037</v>
      </c>
      <c r="B1039" s="10" t="str">
        <f>"54492023070314175397567"</f>
        <v>54492023070314175397567</v>
      </c>
      <c r="C1039" s="10" t="s">
        <v>10</v>
      </c>
      <c r="D1039" s="10" t="str">
        <f>"郭君茹"</f>
        <v>郭君茹</v>
      </c>
      <c r="E1039" s="10" t="str">
        <f t="shared" si="46"/>
        <v>女</v>
      </c>
      <c r="F1039" s="10"/>
    </row>
    <row r="1040" spans="1:6" ht="34.5" customHeight="1">
      <c r="A1040" s="9">
        <v>1038</v>
      </c>
      <c r="B1040" s="10" t="str">
        <f>"54492023070314492897720"</f>
        <v>54492023070314492897720</v>
      </c>
      <c r="C1040" s="10" t="s">
        <v>10</v>
      </c>
      <c r="D1040" s="10" t="str">
        <f>"王佳丽"</f>
        <v>王佳丽</v>
      </c>
      <c r="E1040" s="10" t="str">
        <f t="shared" si="46"/>
        <v>女</v>
      </c>
      <c r="F1040" s="10"/>
    </row>
    <row r="1041" spans="1:6" ht="34.5" customHeight="1">
      <c r="A1041" s="9">
        <v>1039</v>
      </c>
      <c r="B1041" s="10" t="str">
        <f>"54492023070315340998013"</f>
        <v>54492023070315340998013</v>
      </c>
      <c r="C1041" s="10" t="s">
        <v>10</v>
      </c>
      <c r="D1041" s="10" t="str">
        <f>"朱卓颖"</f>
        <v>朱卓颖</v>
      </c>
      <c r="E1041" s="10" t="str">
        <f t="shared" si="46"/>
        <v>女</v>
      </c>
      <c r="F1041" s="10"/>
    </row>
    <row r="1042" spans="1:6" ht="34.5" customHeight="1">
      <c r="A1042" s="9">
        <v>1040</v>
      </c>
      <c r="B1042" s="10" t="str">
        <f>"54492023070314520097732"</f>
        <v>54492023070314520097732</v>
      </c>
      <c r="C1042" s="10" t="s">
        <v>10</v>
      </c>
      <c r="D1042" s="10" t="str">
        <f>"李彤"</f>
        <v>李彤</v>
      </c>
      <c r="E1042" s="10" t="str">
        <f t="shared" si="46"/>
        <v>女</v>
      </c>
      <c r="F1042" s="10"/>
    </row>
    <row r="1043" spans="1:6" ht="34.5" customHeight="1">
      <c r="A1043" s="9">
        <v>1041</v>
      </c>
      <c r="B1043" s="10" t="str">
        <f>"54492023070316454298436"</f>
        <v>54492023070316454298436</v>
      </c>
      <c r="C1043" s="10" t="s">
        <v>10</v>
      </c>
      <c r="D1043" s="10" t="str">
        <f>"朱娇"</f>
        <v>朱娇</v>
      </c>
      <c r="E1043" s="10" t="str">
        <f t="shared" si="46"/>
        <v>女</v>
      </c>
      <c r="F1043" s="10"/>
    </row>
    <row r="1044" spans="1:6" ht="34.5" customHeight="1">
      <c r="A1044" s="9">
        <v>1042</v>
      </c>
      <c r="B1044" s="10" t="str">
        <f>"54492023070317082098572"</f>
        <v>54492023070317082098572</v>
      </c>
      <c r="C1044" s="10" t="s">
        <v>10</v>
      </c>
      <c r="D1044" s="10" t="str">
        <f>"凃治鑫"</f>
        <v>凃治鑫</v>
      </c>
      <c r="E1044" s="10" t="str">
        <f t="shared" si="46"/>
        <v>女</v>
      </c>
      <c r="F1044" s="10"/>
    </row>
    <row r="1045" spans="1:6" ht="34.5" customHeight="1">
      <c r="A1045" s="9">
        <v>1043</v>
      </c>
      <c r="B1045" s="10" t="str">
        <f>"54492023070320123799291"</f>
        <v>54492023070320123799291</v>
      </c>
      <c r="C1045" s="10" t="s">
        <v>10</v>
      </c>
      <c r="D1045" s="10" t="str">
        <f>"王杏"</f>
        <v>王杏</v>
      </c>
      <c r="E1045" s="10" t="str">
        <f t="shared" si="46"/>
        <v>女</v>
      </c>
      <c r="F1045" s="10"/>
    </row>
    <row r="1046" spans="1:6" ht="34.5" customHeight="1">
      <c r="A1046" s="9">
        <v>1044</v>
      </c>
      <c r="B1046" s="10" t="str">
        <f>"54492023070219392194481"</f>
        <v>54492023070219392194481</v>
      </c>
      <c r="C1046" s="10" t="s">
        <v>10</v>
      </c>
      <c r="D1046" s="10" t="str">
        <f>"张佰秋"</f>
        <v>张佰秋</v>
      </c>
      <c r="E1046" s="10" t="str">
        <f>"男"</f>
        <v>男</v>
      </c>
      <c r="F1046" s="10"/>
    </row>
    <row r="1047" spans="1:6" ht="34.5" customHeight="1">
      <c r="A1047" s="9">
        <v>1045</v>
      </c>
      <c r="B1047" s="10" t="str">
        <f>"544920230703230230100115"</f>
        <v>544920230703230230100115</v>
      </c>
      <c r="C1047" s="10" t="s">
        <v>10</v>
      </c>
      <c r="D1047" s="10" t="str">
        <f>"张雅雯"</f>
        <v>张雅雯</v>
      </c>
      <c r="E1047" s="10" t="str">
        <f aca="true" t="shared" si="47" ref="E1047:E1056">"女"</f>
        <v>女</v>
      </c>
      <c r="F1047" s="10"/>
    </row>
    <row r="1048" spans="1:6" ht="34.5" customHeight="1">
      <c r="A1048" s="9">
        <v>1046</v>
      </c>
      <c r="B1048" s="10" t="str">
        <f>"544920230703235007100260"</f>
        <v>544920230703235007100260</v>
      </c>
      <c r="C1048" s="10" t="s">
        <v>10</v>
      </c>
      <c r="D1048" s="10" t="str">
        <f>"吴凯琪"</f>
        <v>吴凯琪</v>
      </c>
      <c r="E1048" s="10" t="str">
        <f t="shared" si="47"/>
        <v>女</v>
      </c>
      <c r="F1048" s="10"/>
    </row>
    <row r="1049" spans="1:6" ht="34.5" customHeight="1">
      <c r="A1049" s="9">
        <v>1047</v>
      </c>
      <c r="B1049" s="10" t="str">
        <f>"544920230703234415100245"</f>
        <v>544920230703234415100245</v>
      </c>
      <c r="C1049" s="10" t="s">
        <v>10</v>
      </c>
      <c r="D1049" s="10" t="str">
        <f>"周佳丽"</f>
        <v>周佳丽</v>
      </c>
      <c r="E1049" s="10" t="str">
        <f t="shared" si="47"/>
        <v>女</v>
      </c>
      <c r="F1049" s="10"/>
    </row>
    <row r="1050" spans="1:6" ht="34.5" customHeight="1">
      <c r="A1050" s="9">
        <v>1048</v>
      </c>
      <c r="B1050" s="10" t="str">
        <f>"544920230704002736100329"</f>
        <v>544920230704002736100329</v>
      </c>
      <c r="C1050" s="10" t="s">
        <v>10</v>
      </c>
      <c r="D1050" s="10" t="str">
        <f>"张明珠"</f>
        <v>张明珠</v>
      </c>
      <c r="E1050" s="10" t="str">
        <f t="shared" si="47"/>
        <v>女</v>
      </c>
      <c r="F1050" s="10"/>
    </row>
    <row r="1051" spans="1:6" ht="34.5" customHeight="1">
      <c r="A1051" s="9">
        <v>1049</v>
      </c>
      <c r="B1051" s="10" t="str">
        <f>"544920230704095303100975"</f>
        <v>544920230704095303100975</v>
      </c>
      <c r="C1051" s="10" t="s">
        <v>10</v>
      </c>
      <c r="D1051" s="10" t="str">
        <f>"高跃淇"</f>
        <v>高跃淇</v>
      </c>
      <c r="E1051" s="10" t="str">
        <f t="shared" si="47"/>
        <v>女</v>
      </c>
      <c r="F1051" s="10"/>
    </row>
    <row r="1052" spans="1:6" ht="34.5" customHeight="1">
      <c r="A1052" s="9">
        <v>1050</v>
      </c>
      <c r="B1052" s="10" t="str">
        <f>"544920230704122043101653"</f>
        <v>544920230704122043101653</v>
      </c>
      <c r="C1052" s="10" t="s">
        <v>10</v>
      </c>
      <c r="D1052" s="10" t="str">
        <f>"黎慧婷"</f>
        <v>黎慧婷</v>
      </c>
      <c r="E1052" s="10" t="str">
        <f t="shared" si="47"/>
        <v>女</v>
      </c>
      <c r="F1052" s="10"/>
    </row>
    <row r="1053" spans="1:6" ht="34.5" customHeight="1">
      <c r="A1053" s="9">
        <v>1051</v>
      </c>
      <c r="B1053" s="10" t="str">
        <f>"544920230704120631101616"</f>
        <v>544920230704120631101616</v>
      </c>
      <c r="C1053" s="10" t="s">
        <v>10</v>
      </c>
      <c r="D1053" s="10" t="str">
        <f>"鲁雪"</f>
        <v>鲁雪</v>
      </c>
      <c r="E1053" s="10" t="str">
        <f t="shared" si="47"/>
        <v>女</v>
      </c>
      <c r="F1053" s="10"/>
    </row>
    <row r="1054" spans="1:6" ht="34.5" customHeight="1">
      <c r="A1054" s="9">
        <v>1052</v>
      </c>
      <c r="B1054" s="10" t="str">
        <f>"54492023070210395593211"</f>
        <v>54492023070210395593211</v>
      </c>
      <c r="C1054" s="10" t="s">
        <v>10</v>
      </c>
      <c r="D1054" s="10" t="str">
        <f>"林晓凤"</f>
        <v>林晓凤</v>
      </c>
      <c r="E1054" s="10" t="str">
        <f t="shared" si="47"/>
        <v>女</v>
      </c>
      <c r="F1054" s="10" t="str">
        <f>"身份证后四位为1427"</f>
        <v>身份证后四位为1427</v>
      </c>
    </row>
    <row r="1055" spans="1:6" ht="34.5" customHeight="1">
      <c r="A1055" s="9">
        <v>1053</v>
      </c>
      <c r="B1055" s="10" t="str">
        <f>"54492023070213314193653"</f>
        <v>54492023070213314193653</v>
      </c>
      <c r="C1055" s="10" t="s">
        <v>10</v>
      </c>
      <c r="D1055" s="10" t="str">
        <f>"谭雨茜"</f>
        <v>谭雨茜</v>
      </c>
      <c r="E1055" s="10" t="str">
        <f t="shared" si="47"/>
        <v>女</v>
      </c>
      <c r="F1055" s="10"/>
    </row>
    <row r="1056" spans="1:6" ht="34.5" customHeight="1">
      <c r="A1056" s="9">
        <v>1054</v>
      </c>
      <c r="B1056" s="10" t="str">
        <f>"54492023070219213794448"</f>
        <v>54492023070219213794448</v>
      </c>
      <c r="C1056" s="10" t="s">
        <v>10</v>
      </c>
      <c r="D1056" s="10" t="str">
        <f>"王晨饶"</f>
        <v>王晨饶</v>
      </c>
      <c r="E1056" s="10" t="str">
        <f t="shared" si="47"/>
        <v>女</v>
      </c>
      <c r="F1056" s="10"/>
    </row>
    <row r="1057" spans="1:6" ht="34.5" customHeight="1">
      <c r="A1057" s="9">
        <v>1055</v>
      </c>
      <c r="B1057" s="10" t="str">
        <f>"544920230704154504102196"</f>
        <v>544920230704154504102196</v>
      </c>
      <c r="C1057" s="10" t="s">
        <v>10</v>
      </c>
      <c r="D1057" s="10" t="str">
        <f>"秘杨奇"</f>
        <v>秘杨奇</v>
      </c>
      <c r="E1057" s="10" t="str">
        <f>"男"</f>
        <v>男</v>
      </c>
      <c r="F1057" s="10"/>
    </row>
    <row r="1058" spans="1:6" ht="34.5" customHeight="1">
      <c r="A1058" s="9">
        <v>1056</v>
      </c>
      <c r="B1058" s="10" t="str">
        <f>"544920230704164235102384"</f>
        <v>544920230704164235102384</v>
      </c>
      <c r="C1058" s="10" t="s">
        <v>10</v>
      </c>
      <c r="D1058" s="10" t="str">
        <f>"杨蓉"</f>
        <v>杨蓉</v>
      </c>
      <c r="E1058" s="10" t="str">
        <f>"女"</f>
        <v>女</v>
      </c>
      <c r="F1058" s="10"/>
    </row>
    <row r="1059" spans="1:6" ht="34.5" customHeight="1">
      <c r="A1059" s="9">
        <v>1057</v>
      </c>
      <c r="B1059" s="10" t="str">
        <f>"54492023070309593096060"</f>
        <v>54492023070309593096060</v>
      </c>
      <c r="C1059" s="10" t="s">
        <v>10</v>
      </c>
      <c r="D1059" s="10" t="str">
        <f>"司会娟"</f>
        <v>司会娟</v>
      </c>
      <c r="E1059" s="10" t="str">
        <f>"女"</f>
        <v>女</v>
      </c>
      <c r="F1059" s="10"/>
    </row>
    <row r="1060" spans="1:6" ht="34.5" customHeight="1">
      <c r="A1060" s="9">
        <v>1058</v>
      </c>
      <c r="B1060" s="10" t="str">
        <f>"544920230704192150102831"</f>
        <v>544920230704192150102831</v>
      </c>
      <c r="C1060" s="10" t="s">
        <v>10</v>
      </c>
      <c r="D1060" s="10" t="str">
        <f>"郑丰铅"</f>
        <v>郑丰铅</v>
      </c>
      <c r="E1060" s="10" t="str">
        <f>"女"</f>
        <v>女</v>
      </c>
      <c r="F1060" s="10"/>
    </row>
    <row r="1061" spans="1:6" ht="34.5" customHeight="1">
      <c r="A1061" s="9">
        <v>1059</v>
      </c>
      <c r="B1061" s="10" t="str">
        <f>"544920230704205316103033"</f>
        <v>544920230704205316103033</v>
      </c>
      <c r="C1061" s="10" t="s">
        <v>10</v>
      </c>
      <c r="D1061" s="10" t="str">
        <f>"陈本慧"</f>
        <v>陈本慧</v>
      </c>
      <c r="E1061" s="10" t="str">
        <f>"女"</f>
        <v>女</v>
      </c>
      <c r="F1061" s="10"/>
    </row>
    <row r="1062" spans="1:6" ht="34.5" customHeight="1">
      <c r="A1062" s="9">
        <v>1060</v>
      </c>
      <c r="B1062" s="10" t="str">
        <f>"54492023070223282895072"</f>
        <v>54492023070223282895072</v>
      </c>
      <c r="C1062" s="10" t="s">
        <v>10</v>
      </c>
      <c r="D1062" s="10" t="str">
        <f>"高涵"</f>
        <v>高涵</v>
      </c>
      <c r="E1062" s="10" t="str">
        <f>"男"</f>
        <v>男</v>
      </c>
      <c r="F1062" s="10"/>
    </row>
    <row r="1063" spans="1:6" ht="34.5" customHeight="1">
      <c r="A1063" s="9">
        <v>1061</v>
      </c>
      <c r="B1063" s="10" t="str">
        <f>"544920230704212115103109"</f>
        <v>544920230704212115103109</v>
      </c>
      <c r="C1063" s="10" t="s">
        <v>10</v>
      </c>
      <c r="D1063" s="10" t="str">
        <f>"邢妙"</f>
        <v>邢妙</v>
      </c>
      <c r="E1063" s="10" t="str">
        <f aca="true" t="shared" si="48" ref="E1063:E1071">"女"</f>
        <v>女</v>
      </c>
      <c r="F1063" s="10"/>
    </row>
    <row r="1064" spans="1:6" ht="34.5" customHeight="1">
      <c r="A1064" s="9">
        <v>1062</v>
      </c>
      <c r="B1064" s="10" t="str">
        <f>"544920230704221740103262"</f>
        <v>544920230704221740103262</v>
      </c>
      <c r="C1064" s="10" t="s">
        <v>10</v>
      </c>
      <c r="D1064" s="10" t="str">
        <f>"符晓菲"</f>
        <v>符晓菲</v>
      </c>
      <c r="E1064" s="10" t="str">
        <f t="shared" si="48"/>
        <v>女</v>
      </c>
      <c r="F1064" s="10"/>
    </row>
    <row r="1065" spans="1:6" ht="34.5" customHeight="1">
      <c r="A1065" s="9">
        <v>1063</v>
      </c>
      <c r="B1065" s="10" t="str">
        <f>"544920230704234042103430"</f>
        <v>544920230704234042103430</v>
      </c>
      <c r="C1065" s="10" t="s">
        <v>10</v>
      </c>
      <c r="D1065" s="10" t="str">
        <f>"胡越"</f>
        <v>胡越</v>
      </c>
      <c r="E1065" s="10" t="str">
        <f t="shared" si="48"/>
        <v>女</v>
      </c>
      <c r="F1065" s="10"/>
    </row>
    <row r="1066" spans="1:6" ht="34.5" customHeight="1">
      <c r="A1066" s="9">
        <v>1064</v>
      </c>
      <c r="B1066" s="10" t="str">
        <f>"544920230705001652103496"</f>
        <v>544920230705001652103496</v>
      </c>
      <c r="C1066" s="10" t="s">
        <v>10</v>
      </c>
      <c r="D1066" s="10" t="str">
        <f>"林秋妍"</f>
        <v>林秋妍</v>
      </c>
      <c r="E1066" s="10" t="str">
        <f t="shared" si="48"/>
        <v>女</v>
      </c>
      <c r="F1066" s="10"/>
    </row>
    <row r="1067" spans="1:6" ht="34.5" customHeight="1">
      <c r="A1067" s="9">
        <v>1065</v>
      </c>
      <c r="B1067" s="10" t="str">
        <f>"544920230705195427105443"</f>
        <v>544920230705195427105443</v>
      </c>
      <c r="C1067" s="10" t="s">
        <v>10</v>
      </c>
      <c r="D1067" s="10" t="str">
        <f>"田宇宁"</f>
        <v>田宇宁</v>
      </c>
      <c r="E1067" s="10" t="str">
        <f t="shared" si="48"/>
        <v>女</v>
      </c>
      <c r="F1067" s="10"/>
    </row>
    <row r="1068" spans="1:6" ht="34.5" customHeight="1">
      <c r="A1068" s="9">
        <v>1066</v>
      </c>
      <c r="B1068" s="10" t="str">
        <f>"544920230705220131105672"</f>
        <v>544920230705220131105672</v>
      </c>
      <c r="C1068" s="10" t="s">
        <v>10</v>
      </c>
      <c r="D1068" s="10" t="str">
        <f>"刘树丛"</f>
        <v>刘树丛</v>
      </c>
      <c r="E1068" s="10" t="str">
        <f t="shared" si="48"/>
        <v>女</v>
      </c>
      <c r="F1068" s="10"/>
    </row>
    <row r="1069" spans="1:6" ht="34.5" customHeight="1">
      <c r="A1069" s="9">
        <v>1067</v>
      </c>
      <c r="B1069" s="10" t="str">
        <f>"544920230706000347105832"</f>
        <v>544920230706000347105832</v>
      </c>
      <c r="C1069" s="10" t="s">
        <v>10</v>
      </c>
      <c r="D1069" s="10" t="str">
        <f>"王慧霞"</f>
        <v>王慧霞</v>
      </c>
      <c r="E1069" s="10" t="str">
        <f t="shared" si="48"/>
        <v>女</v>
      </c>
      <c r="F1069" s="10"/>
    </row>
    <row r="1070" spans="1:6" ht="34.5" customHeight="1">
      <c r="A1070" s="9">
        <v>1068</v>
      </c>
      <c r="B1070" s="10" t="str">
        <f>"544920230705084929103726"</f>
        <v>544920230705084929103726</v>
      </c>
      <c r="C1070" s="10" t="s">
        <v>10</v>
      </c>
      <c r="D1070" s="10" t="str">
        <f>"周月琴"</f>
        <v>周月琴</v>
      </c>
      <c r="E1070" s="10" t="str">
        <f t="shared" si="48"/>
        <v>女</v>
      </c>
      <c r="F1070" s="10"/>
    </row>
    <row r="1071" spans="1:6" ht="34.5" customHeight="1">
      <c r="A1071" s="9">
        <v>1069</v>
      </c>
      <c r="B1071" s="10" t="str">
        <f>"544920230706151754109152"</f>
        <v>544920230706151754109152</v>
      </c>
      <c r="C1071" s="10" t="s">
        <v>10</v>
      </c>
      <c r="D1071" s="10" t="str">
        <f>"高倩岚"</f>
        <v>高倩岚</v>
      </c>
      <c r="E1071" s="10" t="str">
        <f t="shared" si="48"/>
        <v>女</v>
      </c>
      <c r="F1071" s="10"/>
    </row>
    <row r="1072" spans="1:6" ht="34.5" customHeight="1">
      <c r="A1072" s="9">
        <v>1070</v>
      </c>
      <c r="B1072" s="10" t="str">
        <f>"544920230706170212109893"</f>
        <v>544920230706170212109893</v>
      </c>
      <c r="C1072" s="10" t="s">
        <v>10</v>
      </c>
      <c r="D1072" s="10" t="str">
        <f>"江文斌"</f>
        <v>江文斌</v>
      </c>
      <c r="E1072" s="10" t="str">
        <f>"男"</f>
        <v>男</v>
      </c>
      <c r="F1072" s="10"/>
    </row>
    <row r="1073" spans="1:6" ht="34.5" customHeight="1">
      <c r="A1073" s="9">
        <v>1071</v>
      </c>
      <c r="B1073" s="10" t="str">
        <f>"544920230706154607109350"</f>
        <v>544920230706154607109350</v>
      </c>
      <c r="C1073" s="10" t="s">
        <v>10</v>
      </c>
      <c r="D1073" s="10" t="str">
        <f>"张蕾"</f>
        <v>张蕾</v>
      </c>
      <c r="E1073" s="10" t="str">
        <f>"女"</f>
        <v>女</v>
      </c>
      <c r="F1073" s="10"/>
    </row>
    <row r="1074" spans="1:6" ht="34.5" customHeight="1">
      <c r="A1074" s="9">
        <v>1072</v>
      </c>
      <c r="B1074" s="10" t="str">
        <f>"544920230706204352110757"</f>
        <v>544920230706204352110757</v>
      </c>
      <c r="C1074" s="10" t="s">
        <v>10</v>
      </c>
      <c r="D1074" s="10" t="str">
        <f>"李美慧"</f>
        <v>李美慧</v>
      </c>
      <c r="E1074" s="10" t="str">
        <f>"女"</f>
        <v>女</v>
      </c>
      <c r="F1074" s="10"/>
    </row>
    <row r="1075" spans="1:6" ht="34.5" customHeight="1">
      <c r="A1075" s="9">
        <v>1073</v>
      </c>
      <c r="B1075" s="10" t="str">
        <f>"544920230706212639110953"</f>
        <v>544920230706212639110953</v>
      </c>
      <c r="C1075" s="10" t="s">
        <v>10</v>
      </c>
      <c r="D1075" s="10" t="str">
        <f>"吴小蕊"</f>
        <v>吴小蕊</v>
      </c>
      <c r="E1075" s="10" t="str">
        <f>"女"</f>
        <v>女</v>
      </c>
      <c r="F1075" s="10"/>
    </row>
    <row r="1076" spans="1:6" ht="34.5" customHeight="1">
      <c r="A1076" s="9">
        <v>1074</v>
      </c>
      <c r="B1076" s="10" t="str">
        <f>"544920230706213954111009"</f>
        <v>544920230706213954111009</v>
      </c>
      <c r="C1076" s="10" t="s">
        <v>10</v>
      </c>
      <c r="D1076" s="10" t="str">
        <f>"王安杰"</f>
        <v>王安杰</v>
      </c>
      <c r="E1076" s="10" t="str">
        <f>"男"</f>
        <v>男</v>
      </c>
      <c r="F1076" s="10"/>
    </row>
    <row r="1077" spans="1:6" ht="34.5" customHeight="1">
      <c r="A1077" s="9">
        <v>1075</v>
      </c>
      <c r="B1077" s="10" t="str">
        <f>"544920230707124255113042"</f>
        <v>544920230707124255113042</v>
      </c>
      <c r="C1077" s="10" t="s">
        <v>10</v>
      </c>
      <c r="D1077" s="10" t="str">
        <f>"李梦竹"</f>
        <v>李梦竹</v>
      </c>
      <c r="E1077" s="10" t="str">
        <f>"女"</f>
        <v>女</v>
      </c>
      <c r="F1077" s="10"/>
    </row>
    <row r="1078" spans="1:6" ht="34.5" customHeight="1">
      <c r="A1078" s="9">
        <v>1076</v>
      </c>
      <c r="B1078" s="10" t="str">
        <f>"544920230707132031113216"</f>
        <v>544920230707132031113216</v>
      </c>
      <c r="C1078" s="10" t="s">
        <v>10</v>
      </c>
      <c r="D1078" s="10" t="str">
        <f>"王丽"</f>
        <v>王丽</v>
      </c>
      <c r="E1078" s="10" t="str">
        <f>"女"</f>
        <v>女</v>
      </c>
      <c r="F1078" s="10"/>
    </row>
    <row r="1079" spans="1:6" ht="34.5" customHeight="1">
      <c r="A1079" s="9">
        <v>1077</v>
      </c>
      <c r="B1079" s="10" t="str">
        <f>"544920230707152412113784"</f>
        <v>544920230707152412113784</v>
      </c>
      <c r="C1079" s="10" t="s">
        <v>10</v>
      </c>
      <c r="D1079" s="10" t="str">
        <f>"麦浪江"</f>
        <v>麦浪江</v>
      </c>
      <c r="E1079" s="10" t="str">
        <f>"男"</f>
        <v>男</v>
      </c>
      <c r="F1079" s="10"/>
    </row>
    <row r="1080" spans="1:6" ht="34.5" customHeight="1">
      <c r="A1080" s="9">
        <v>1078</v>
      </c>
      <c r="B1080" s="10" t="str">
        <f>"544920230707171041114298"</f>
        <v>544920230707171041114298</v>
      </c>
      <c r="C1080" s="10" t="s">
        <v>10</v>
      </c>
      <c r="D1080" s="10" t="str">
        <f>"符茂金"</f>
        <v>符茂金</v>
      </c>
      <c r="E1080" s="10" t="str">
        <f>"男"</f>
        <v>男</v>
      </c>
      <c r="F1080" s="10"/>
    </row>
    <row r="1081" spans="1:6" ht="34.5" customHeight="1">
      <c r="A1081" s="9">
        <v>1079</v>
      </c>
      <c r="B1081" s="10" t="str">
        <f>"544920230707225820115414"</f>
        <v>544920230707225820115414</v>
      </c>
      <c r="C1081" s="10" t="s">
        <v>10</v>
      </c>
      <c r="D1081" s="10" t="str">
        <f>"焦玉婷"</f>
        <v>焦玉婷</v>
      </c>
      <c r="E1081" s="10" t="str">
        <f aca="true" t="shared" si="49" ref="E1081:E1087">"女"</f>
        <v>女</v>
      </c>
      <c r="F1081" s="10"/>
    </row>
    <row r="1082" spans="1:6" ht="34.5" customHeight="1">
      <c r="A1082" s="9">
        <v>1080</v>
      </c>
      <c r="B1082" s="10" t="str">
        <f>"544920230708103644116112"</f>
        <v>544920230708103644116112</v>
      </c>
      <c r="C1082" s="10" t="s">
        <v>10</v>
      </c>
      <c r="D1082" s="10" t="str">
        <f>"闫淑敏"</f>
        <v>闫淑敏</v>
      </c>
      <c r="E1082" s="10" t="str">
        <f t="shared" si="49"/>
        <v>女</v>
      </c>
      <c r="F1082" s="10"/>
    </row>
    <row r="1083" spans="1:6" ht="34.5" customHeight="1">
      <c r="A1083" s="9">
        <v>1081</v>
      </c>
      <c r="B1083" s="10" t="str">
        <f>"544920230705222223105717"</f>
        <v>544920230705222223105717</v>
      </c>
      <c r="C1083" s="10" t="s">
        <v>10</v>
      </c>
      <c r="D1083" s="10" t="str">
        <f>"聂芳"</f>
        <v>聂芳</v>
      </c>
      <c r="E1083" s="10" t="str">
        <f t="shared" si="49"/>
        <v>女</v>
      </c>
      <c r="F1083" s="10"/>
    </row>
    <row r="1084" spans="1:6" ht="34.5" customHeight="1">
      <c r="A1084" s="9">
        <v>1082</v>
      </c>
      <c r="B1084" s="10" t="str">
        <f>"544920230708163951117487"</f>
        <v>544920230708163951117487</v>
      </c>
      <c r="C1084" s="10" t="s">
        <v>10</v>
      </c>
      <c r="D1084" s="10" t="str">
        <f>"温海萍"</f>
        <v>温海萍</v>
      </c>
      <c r="E1084" s="10" t="str">
        <f t="shared" si="49"/>
        <v>女</v>
      </c>
      <c r="F1084" s="10"/>
    </row>
    <row r="1085" spans="1:6" ht="34.5" customHeight="1">
      <c r="A1085" s="9">
        <v>1083</v>
      </c>
      <c r="B1085" s="10" t="str">
        <f>"544920230705221828105709"</f>
        <v>544920230705221828105709</v>
      </c>
      <c r="C1085" s="10" t="s">
        <v>10</v>
      </c>
      <c r="D1085" s="10" t="str">
        <f>"张野"</f>
        <v>张野</v>
      </c>
      <c r="E1085" s="10" t="str">
        <f t="shared" si="49"/>
        <v>女</v>
      </c>
      <c r="F1085" s="10"/>
    </row>
    <row r="1086" spans="1:6" ht="34.5" customHeight="1">
      <c r="A1086" s="9">
        <v>1084</v>
      </c>
      <c r="B1086" s="10" t="str">
        <f>"544920230708200843117688"</f>
        <v>544920230708200843117688</v>
      </c>
      <c r="C1086" s="10" t="s">
        <v>10</v>
      </c>
      <c r="D1086" s="10" t="str">
        <f>"周静"</f>
        <v>周静</v>
      </c>
      <c r="E1086" s="10" t="str">
        <f t="shared" si="49"/>
        <v>女</v>
      </c>
      <c r="F1086" s="10" t="str">
        <f>"身份证后四位为2041"</f>
        <v>身份证后四位为2041</v>
      </c>
    </row>
    <row r="1087" spans="1:6" ht="34.5" customHeight="1">
      <c r="A1087" s="9">
        <v>1085</v>
      </c>
      <c r="B1087" s="10" t="str">
        <f>"544920230709025602117904"</f>
        <v>544920230709025602117904</v>
      </c>
      <c r="C1087" s="10" t="s">
        <v>10</v>
      </c>
      <c r="D1087" s="10" t="str">
        <f>"徐修婷"</f>
        <v>徐修婷</v>
      </c>
      <c r="E1087" s="10" t="str">
        <f t="shared" si="49"/>
        <v>女</v>
      </c>
      <c r="F1087" s="10"/>
    </row>
    <row r="1088" spans="1:6" ht="34.5" customHeight="1">
      <c r="A1088" s="9">
        <v>1086</v>
      </c>
      <c r="B1088" s="10" t="str">
        <f>"544920230708102527116073"</f>
        <v>544920230708102527116073</v>
      </c>
      <c r="C1088" s="10" t="s">
        <v>10</v>
      </c>
      <c r="D1088" s="10" t="str">
        <f>"刘子轩"</f>
        <v>刘子轩</v>
      </c>
      <c r="E1088" s="10" t="str">
        <f>"男"</f>
        <v>男</v>
      </c>
      <c r="F1088" s="10"/>
    </row>
    <row r="1089" spans="1:6" ht="34.5" customHeight="1">
      <c r="A1089" s="9">
        <v>1087</v>
      </c>
      <c r="B1089" s="10" t="str">
        <f>"544920230709215223118450"</f>
        <v>544920230709215223118450</v>
      </c>
      <c r="C1089" s="10" t="s">
        <v>10</v>
      </c>
      <c r="D1089" s="10" t="str">
        <f>"欧琼迪"</f>
        <v>欧琼迪</v>
      </c>
      <c r="E1089" s="10" t="str">
        <f>"男"</f>
        <v>男</v>
      </c>
      <c r="F1089" s="10"/>
    </row>
    <row r="1090" spans="1:6" ht="34.5" customHeight="1">
      <c r="A1090" s="9">
        <v>1088</v>
      </c>
      <c r="B1090" s="10" t="str">
        <f>"544920230710012452118615"</f>
        <v>544920230710012452118615</v>
      </c>
      <c r="C1090" s="10" t="s">
        <v>10</v>
      </c>
      <c r="D1090" s="10" t="str">
        <f>"史克壮"</f>
        <v>史克壮</v>
      </c>
      <c r="E1090" s="10" t="str">
        <f>"男"</f>
        <v>男</v>
      </c>
      <c r="F1090" s="10"/>
    </row>
    <row r="1091" spans="1:6" ht="34.5" customHeight="1">
      <c r="A1091" s="9">
        <v>1089</v>
      </c>
      <c r="B1091" s="10" t="str">
        <f>"544920230710092346118761"</f>
        <v>544920230710092346118761</v>
      </c>
      <c r="C1091" s="10" t="s">
        <v>10</v>
      </c>
      <c r="D1091" s="10" t="str">
        <f>"赵艳敏"</f>
        <v>赵艳敏</v>
      </c>
      <c r="E1091" s="10" t="str">
        <f aca="true" t="shared" si="50" ref="E1091:E1104">"女"</f>
        <v>女</v>
      </c>
      <c r="F1091" s="10"/>
    </row>
    <row r="1092" spans="1:6" ht="34.5" customHeight="1">
      <c r="A1092" s="9">
        <v>1090</v>
      </c>
      <c r="B1092" s="10" t="str">
        <f>"544920230710091213118736"</f>
        <v>544920230710091213118736</v>
      </c>
      <c r="C1092" s="10" t="s">
        <v>10</v>
      </c>
      <c r="D1092" s="10" t="str">
        <f>"韩艺祺"</f>
        <v>韩艺祺</v>
      </c>
      <c r="E1092" s="10" t="str">
        <f t="shared" si="50"/>
        <v>女</v>
      </c>
      <c r="F1092" s="10"/>
    </row>
    <row r="1093" spans="1:6" ht="34.5" customHeight="1">
      <c r="A1093" s="9">
        <v>1091</v>
      </c>
      <c r="B1093" s="10" t="str">
        <f>"544920230710101737118861"</f>
        <v>544920230710101737118861</v>
      </c>
      <c r="C1093" s="10" t="s">
        <v>10</v>
      </c>
      <c r="D1093" s="10" t="str">
        <f>"胡君"</f>
        <v>胡君</v>
      </c>
      <c r="E1093" s="10" t="str">
        <f t="shared" si="50"/>
        <v>女</v>
      </c>
      <c r="F1093" s="10"/>
    </row>
    <row r="1094" spans="1:6" ht="34.5" customHeight="1">
      <c r="A1094" s="9">
        <v>1092</v>
      </c>
      <c r="B1094" s="10" t="str">
        <f>"544920230710105937118957"</f>
        <v>544920230710105937118957</v>
      </c>
      <c r="C1094" s="10" t="s">
        <v>10</v>
      </c>
      <c r="D1094" s="10" t="str">
        <f>"刘俏玲"</f>
        <v>刘俏玲</v>
      </c>
      <c r="E1094" s="10" t="str">
        <f t="shared" si="50"/>
        <v>女</v>
      </c>
      <c r="F1094" s="10"/>
    </row>
    <row r="1095" spans="1:6" ht="34.5" customHeight="1">
      <c r="A1095" s="9">
        <v>1093</v>
      </c>
      <c r="B1095" s="10" t="str">
        <f>"544920230708191912117653"</f>
        <v>544920230708191912117653</v>
      </c>
      <c r="C1095" s="10" t="s">
        <v>10</v>
      </c>
      <c r="D1095" s="10" t="str">
        <f>"赵振芳"</f>
        <v>赵振芳</v>
      </c>
      <c r="E1095" s="10" t="str">
        <f t="shared" si="50"/>
        <v>女</v>
      </c>
      <c r="F1095" s="10"/>
    </row>
    <row r="1096" spans="1:6" ht="34.5" customHeight="1">
      <c r="A1096" s="9">
        <v>1094</v>
      </c>
      <c r="B1096" s="10" t="str">
        <f>"54492023070200022092714"</f>
        <v>54492023070200022092714</v>
      </c>
      <c r="C1096" s="10" t="s">
        <v>11</v>
      </c>
      <c r="D1096" s="10" t="str">
        <f>"杨娜"</f>
        <v>杨娜</v>
      </c>
      <c r="E1096" s="10" t="str">
        <f t="shared" si="50"/>
        <v>女</v>
      </c>
      <c r="F1096" s="10"/>
    </row>
    <row r="1097" spans="1:6" ht="34.5" customHeight="1">
      <c r="A1097" s="9">
        <v>1095</v>
      </c>
      <c r="B1097" s="10" t="str">
        <f>"54492023070200251492738"</f>
        <v>54492023070200251492738</v>
      </c>
      <c r="C1097" s="10" t="s">
        <v>11</v>
      </c>
      <c r="D1097" s="10" t="str">
        <f>"刘婧玮"</f>
        <v>刘婧玮</v>
      </c>
      <c r="E1097" s="10" t="str">
        <f t="shared" si="50"/>
        <v>女</v>
      </c>
      <c r="F1097" s="10"/>
    </row>
    <row r="1098" spans="1:6" ht="34.5" customHeight="1">
      <c r="A1098" s="9">
        <v>1096</v>
      </c>
      <c r="B1098" s="10" t="str">
        <f>"54492023070208490492928"</f>
        <v>54492023070208490492928</v>
      </c>
      <c r="C1098" s="10" t="s">
        <v>11</v>
      </c>
      <c r="D1098" s="10" t="str">
        <f>"白家珠"</f>
        <v>白家珠</v>
      </c>
      <c r="E1098" s="10" t="str">
        <f t="shared" si="50"/>
        <v>女</v>
      </c>
      <c r="F1098" s="10"/>
    </row>
    <row r="1099" spans="1:6" ht="34.5" customHeight="1">
      <c r="A1099" s="9">
        <v>1097</v>
      </c>
      <c r="B1099" s="10" t="str">
        <f>"54492023070208483792926"</f>
        <v>54492023070208483792926</v>
      </c>
      <c r="C1099" s="10" t="s">
        <v>11</v>
      </c>
      <c r="D1099" s="10" t="str">
        <f>"任洁"</f>
        <v>任洁</v>
      </c>
      <c r="E1099" s="10" t="str">
        <f t="shared" si="50"/>
        <v>女</v>
      </c>
      <c r="F1099" s="10"/>
    </row>
    <row r="1100" spans="1:6" ht="34.5" customHeight="1">
      <c r="A1100" s="9">
        <v>1098</v>
      </c>
      <c r="B1100" s="10" t="str">
        <f>"54492023070209430593040"</f>
        <v>54492023070209430593040</v>
      </c>
      <c r="C1100" s="10" t="s">
        <v>11</v>
      </c>
      <c r="D1100" s="10" t="str">
        <f>"李淑兰"</f>
        <v>李淑兰</v>
      </c>
      <c r="E1100" s="10" t="str">
        <f t="shared" si="50"/>
        <v>女</v>
      </c>
      <c r="F1100" s="10"/>
    </row>
    <row r="1101" spans="1:6" ht="34.5" customHeight="1">
      <c r="A1101" s="9">
        <v>1099</v>
      </c>
      <c r="B1101" s="10" t="str">
        <f>"54492023070210291193171"</f>
        <v>54492023070210291193171</v>
      </c>
      <c r="C1101" s="10" t="s">
        <v>11</v>
      </c>
      <c r="D1101" s="10" t="str">
        <f>"左涵恩"</f>
        <v>左涵恩</v>
      </c>
      <c r="E1101" s="10" t="str">
        <f t="shared" si="50"/>
        <v>女</v>
      </c>
      <c r="F1101" s="10"/>
    </row>
    <row r="1102" spans="1:6" ht="34.5" customHeight="1">
      <c r="A1102" s="9">
        <v>1100</v>
      </c>
      <c r="B1102" s="10" t="str">
        <f>"54492023070210473993235"</f>
        <v>54492023070210473993235</v>
      </c>
      <c r="C1102" s="10" t="s">
        <v>11</v>
      </c>
      <c r="D1102" s="10" t="str">
        <f>"龙玉润"</f>
        <v>龙玉润</v>
      </c>
      <c r="E1102" s="10" t="str">
        <f t="shared" si="50"/>
        <v>女</v>
      </c>
      <c r="F1102" s="10"/>
    </row>
    <row r="1103" spans="1:6" ht="34.5" customHeight="1">
      <c r="A1103" s="9">
        <v>1101</v>
      </c>
      <c r="B1103" s="10" t="str">
        <f>"54492023070209160192986"</f>
        <v>54492023070209160192986</v>
      </c>
      <c r="C1103" s="10" t="s">
        <v>11</v>
      </c>
      <c r="D1103" s="10" t="str">
        <f>"黄慧玲"</f>
        <v>黄慧玲</v>
      </c>
      <c r="E1103" s="10" t="str">
        <f t="shared" si="50"/>
        <v>女</v>
      </c>
      <c r="F1103" s="10"/>
    </row>
    <row r="1104" spans="1:6" ht="34.5" customHeight="1">
      <c r="A1104" s="9">
        <v>1102</v>
      </c>
      <c r="B1104" s="10" t="str">
        <f>"54492023070211251993336"</f>
        <v>54492023070211251993336</v>
      </c>
      <c r="C1104" s="10" t="s">
        <v>11</v>
      </c>
      <c r="D1104" s="10" t="str">
        <f>"王乐"</f>
        <v>王乐</v>
      </c>
      <c r="E1104" s="10" t="str">
        <f t="shared" si="50"/>
        <v>女</v>
      </c>
      <c r="F1104" s="10"/>
    </row>
    <row r="1105" spans="1:6" ht="34.5" customHeight="1">
      <c r="A1105" s="9">
        <v>1103</v>
      </c>
      <c r="B1105" s="10" t="str">
        <f>"54492023070211584293423"</f>
        <v>54492023070211584293423</v>
      </c>
      <c r="C1105" s="10" t="s">
        <v>11</v>
      </c>
      <c r="D1105" s="10" t="str">
        <f>"赖正兴"</f>
        <v>赖正兴</v>
      </c>
      <c r="E1105" s="10" t="str">
        <f>"男"</f>
        <v>男</v>
      </c>
      <c r="F1105" s="10"/>
    </row>
    <row r="1106" spans="1:6" ht="34.5" customHeight="1">
      <c r="A1106" s="9">
        <v>1104</v>
      </c>
      <c r="B1106" s="10" t="str">
        <f>"54492023070213141593615"</f>
        <v>54492023070213141593615</v>
      </c>
      <c r="C1106" s="10" t="s">
        <v>11</v>
      </c>
      <c r="D1106" s="10" t="str">
        <f>"解杨旭"</f>
        <v>解杨旭</v>
      </c>
      <c r="E1106" s="10" t="str">
        <f>"女"</f>
        <v>女</v>
      </c>
      <c r="F1106" s="10"/>
    </row>
    <row r="1107" spans="1:6" ht="34.5" customHeight="1">
      <c r="A1107" s="9">
        <v>1105</v>
      </c>
      <c r="B1107" s="10" t="str">
        <f>"54492023070213483393695"</f>
        <v>54492023070213483393695</v>
      </c>
      <c r="C1107" s="10" t="s">
        <v>11</v>
      </c>
      <c r="D1107" s="10" t="str">
        <f>"许盈盈"</f>
        <v>许盈盈</v>
      </c>
      <c r="E1107" s="10" t="str">
        <f>"女"</f>
        <v>女</v>
      </c>
      <c r="F1107" s="10"/>
    </row>
    <row r="1108" spans="1:6" ht="34.5" customHeight="1">
      <c r="A1108" s="9">
        <v>1106</v>
      </c>
      <c r="B1108" s="10" t="str">
        <f>"54492023070214074893742"</f>
        <v>54492023070214074893742</v>
      </c>
      <c r="C1108" s="10" t="s">
        <v>11</v>
      </c>
      <c r="D1108" s="10" t="str">
        <f>"赖海"</f>
        <v>赖海</v>
      </c>
      <c r="E1108" s="10" t="str">
        <f>"男"</f>
        <v>男</v>
      </c>
      <c r="F1108" s="10"/>
    </row>
    <row r="1109" spans="1:6" ht="34.5" customHeight="1">
      <c r="A1109" s="9">
        <v>1107</v>
      </c>
      <c r="B1109" s="10" t="str">
        <f>"54492023070214095393746"</f>
        <v>54492023070214095393746</v>
      </c>
      <c r="C1109" s="10" t="s">
        <v>11</v>
      </c>
      <c r="D1109" s="10" t="str">
        <f>"陈忠宇"</f>
        <v>陈忠宇</v>
      </c>
      <c r="E1109" s="10" t="str">
        <f>"男"</f>
        <v>男</v>
      </c>
      <c r="F1109" s="10"/>
    </row>
    <row r="1110" spans="1:6" ht="34.5" customHeight="1">
      <c r="A1110" s="9">
        <v>1108</v>
      </c>
      <c r="B1110" s="10" t="str">
        <f>"54492023070211454793394"</f>
        <v>54492023070211454793394</v>
      </c>
      <c r="C1110" s="10" t="s">
        <v>11</v>
      </c>
      <c r="D1110" s="10" t="str">
        <f>"单婉裕"</f>
        <v>单婉裕</v>
      </c>
      <c r="E1110" s="10" t="str">
        <f>"女"</f>
        <v>女</v>
      </c>
      <c r="F1110" s="10"/>
    </row>
    <row r="1111" spans="1:6" ht="34.5" customHeight="1">
      <c r="A1111" s="9">
        <v>1109</v>
      </c>
      <c r="B1111" s="10" t="str">
        <f>"54492023070215275893924"</f>
        <v>54492023070215275893924</v>
      </c>
      <c r="C1111" s="10" t="s">
        <v>11</v>
      </c>
      <c r="D1111" s="10" t="str">
        <f>"霍文彦"</f>
        <v>霍文彦</v>
      </c>
      <c r="E1111" s="10" t="str">
        <f>"女"</f>
        <v>女</v>
      </c>
      <c r="F1111" s="10"/>
    </row>
    <row r="1112" spans="1:6" ht="34.5" customHeight="1">
      <c r="A1112" s="9">
        <v>1110</v>
      </c>
      <c r="B1112" s="10" t="str">
        <f>"54492023070215364793948"</f>
        <v>54492023070215364793948</v>
      </c>
      <c r="C1112" s="10" t="s">
        <v>11</v>
      </c>
      <c r="D1112" s="10" t="str">
        <f>"叶秋伶"</f>
        <v>叶秋伶</v>
      </c>
      <c r="E1112" s="10" t="str">
        <f>"女"</f>
        <v>女</v>
      </c>
      <c r="F1112" s="10"/>
    </row>
    <row r="1113" spans="1:6" ht="34.5" customHeight="1">
      <c r="A1113" s="9">
        <v>1111</v>
      </c>
      <c r="B1113" s="10" t="str">
        <f>"54492023070215575894005"</f>
        <v>54492023070215575894005</v>
      </c>
      <c r="C1113" s="10" t="s">
        <v>11</v>
      </c>
      <c r="D1113" s="10" t="str">
        <f>"孙彪"</f>
        <v>孙彪</v>
      </c>
      <c r="E1113" s="10" t="str">
        <f>"男"</f>
        <v>男</v>
      </c>
      <c r="F1113" s="10"/>
    </row>
    <row r="1114" spans="1:6" ht="34.5" customHeight="1">
      <c r="A1114" s="9">
        <v>1112</v>
      </c>
      <c r="B1114" s="10" t="str">
        <f>"54492023070216270494084"</f>
        <v>54492023070216270494084</v>
      </c>
      <c r="C1114" s="10" t="s">
        <v>11</v>
      </c>
      <c r="D1114" s="10" t="str">
        <f>"林艺婷"</f>
        <v>林艺婷</v>
      </c>
      <c r="E1114" s="10" t="str">
        <f aca="true" t="shared" si="51" ref="E1114:E1119">"女"</f>
        <v>女</v>
      </c>
      <c r="F1114" s="10"/>
    </row>
    <row r="1115" spans="1:6" ht="34.5" customHeight="1">
      <c r="A1115" s="9">
        <v>1113</v>
      </c>
      <c r="B1115" s="10" t="str">
        <f>"54492023070217024494175"</f>
        <v>54492023070217024494175</v>
      </c>
      <c r="C1115" s="10" t="s">
        <v>11</v>
      </c>
      <c r="D1115" s="10" t="str">
        <f>"任静"</f>
        <v>任静</v>
      </c>
      <c r="E1115" s="10" t="str">
        <f t="shared" si="51"/>
        <v>女</v>
      </c>
      <c r="F1115" s="10"/>
    </row>
    <row r="1116" spans="1:6" ht="34.5" customHeight="1">
      <c r="A1116" s="9">
        <v>1114</v>
      </c>
      <c r="B1116" s="10" t="str">
        <f>"54492023070218054194301"</f>
        <v>54492023070218054194301</v>
      </c>
      <c r="C1116" s="10" t="s">
        <v>11</v>
      </c>
      <c r="D1116" s="10" t="str">
        <f>"谭慧"</f>
        <v>谭慧</v>
      </c>
      <c r="E1116" s="10" t="str">
        <f t="shared" si="51"/>
        <v>女</v>
      </c>
      <c r="F1116" s="10"/>
    </row>
    <row r="1117" spans="1:6" ht="34.5" customHeight="1">
      <c r="A1117" s="9">
        <v>1115</v>
      </c>
      <c r="B1117" s="10" t="str">
        <f>"54492023070218375494365"</f>
        <v>54492023070218375494365</v>
      </c>
      <c r="C1117" s="10" t="s">
        <v>11</v>
      </c>
      <c r="D1117" s="10" t="str">
        <f>"陈欣欣"</f>
        <v>陈欣欣</v>
      </c>
      <c r="E1117" s="10" t="str">
        <f t="shared" si="51"/>
        <v>女</v>
      </c>
      <c r="F1117" s="10"/>
    </row>
    <row r="1118" spans="1:6" ht="34.5" customHeight="1">
      <c r="A1118" s="9">
        <v>1116</v>
      </c>
      <c r="B1118" s="10" t="str">
        <f>"54492023070217323594239"</f>
        <v>54492023070217323594239</v>
      </c>
      <c r="C1118" s="10" t="s">
        <v>11</v>
      </c>
      <c r="D1118" s="10" t="str">
        <f>"邱燕芳"</f>
        <v>邱燕芳</v>
      </c>
      <c r="E1118" s="10" t="str">
        <f t="shared" si="51"/>
        <v>女</v>
      </c>
      <c r="F1118" s="10"/>
    </row>
    <row r="1119" spans="1:6" ht="34.5" customHeight="1">
      <c r="A1119" s="9">
        <v>1117</v>
      </c>
      <c r="B1119" s="10" t="str">
        <f>"54492023070217453194267"</f>
        <v>54492023070217453194267</v>
      </c>
      <c r="C1119" s="10" t="s">
        <v>11</v>
      </c>
      <c r="D1119" s="10" t="str">
        <f>"昝涛"</f>
        <v>昝涛</v>
      </c>
      <c r="E1119" s="10" t="str">
        <f t="shared" si="51"/>
        <v>女</v>
      </c>
      <c r="F1119" s="10"/>
    </row>
    <row r="1120" spans="1:6" ht="34.5" customHeight="1">
      <c r="A1120" s="9">
        <v>1118</v>
      </c>
      <c r="B1120" s="10" t="str">
        <f>"54492023070216382694111"</f>
        <v>54492023070216382694111</v>
      </c>
      <c r="C1120" s="10" t="s">
        <v>11</v>
      </c>
      <c r="D1120" s="10" t="str">
        <f>"刘炎青"</f>
        <v>刘炎青</v>
      </c>
      <c r="E1120" s="10" t="str">
        <f>"男"</f>
        <v>男</v>
      </c>
      <c r="F1120" s="10"/>
    </row>
    <row r="1121" spans="1:6" ht="34.5" customHeight="1">
      <c r="A1121" s="9">
        <v>1119</v>
      </c>
      <c r="B1121" s="10" t="str">
        <f>"54492023070214054893736"</f>
        <v>54492023070214054893736</v>
      </c>
      <c r="C1121" s="10" t="s">
        <v>11</v>
      </c>
      <c r="D1121" s="10" t="str">
        <f>"马书昕"</f>
        <v>马书昕</v>
      </c>
      <c r="E1121" s="10" t="str">
        <f aca="true" t="shared" si="52" ref="E1121:E1130">"女"</f>
        <v>女</v>
      </c>
      <c r="F1121" s="10"/>
    </row>
    <row r="1122" spans="1:6" ht="34.5" customHeight="1">
      <c r="A1122" s="9">
        <v>1120</v>
      </c>
      <c r="B1122" s="10" t="str">
        <f>"54492023070220374294605"</f>
        <v>54492023070220374294605</v>
      </c>
      <c r="C1122" s="10" t="s">
        <v>11</v>
      </c>
      <c r="D1122" s="10" t="str">
        <f>"陈丽芽"</f>
        <v>陈丽芽</v>
      </c>
      <c r="E1122" s="10" t="str">
        <f t="shared" si="52"/>
        <v>女</v>
      </c>
      <c r="F1122" s="10"/>
    </row>
    <row r="1123" spans="1:6" ht="34.5" customHeight="1">
      <c r="A1123" s="9">
        <v>1121</v>
      </c>
      <c r="B1123" s="10" t="str">
        <f>"54492023070216542694159"</f>
        <v>54492023070216542694159</v>
      </c>
      <c r="C1123" s="10" t="s">
        <v>11</v>
      </c>
      <c r="D1123" s="10" t="str">
        <f>"叶诗文"</f>
        <v>叶诗文</v>
      </c>
      <c r="E1123" s="10" t="str">
        <f t="shared" si="52"/>
        <v>女</v>
      </c>
      <c r="F1123" s="10"/>
    </row>
    <row r="1124" spans="1:6" ht="34.5" customHeight="1">
      <c r="A1124" s="9">
        <v>1122</v>
      </c>
      <c r="B1124" s="10" t="str">
        <f>"54492023070220564794656"</f>
        <v>54492023070220564794656</v>
      </c>
      <c r="C1124" s="10" t="s">
        <v>11</v>
      </c>
      <c r="D1124" s="10" t="str">
        <f>"殷学琴"</f>
        <v>殷学琴</v>
      </c>
      <c r="E1124" s="10" t="str">
        <f t="shared" si="52"/>
        <v>女</v>
      </c>
      <c r="F1124" s="10"/>
    </row>
    <row r="1125" spans="1:6" ht="34.5" customHeight="1">
      <c r="A1125" s="9">
        <v>1123</v>
      </c>
      <c r="B1125" s="10" t="str">
        <f>"54492023070221074194694"</f>
        <v>54492023070221074194694</v>
      </c>
      <c r="C1125" s="10" t="s">
        <v>11</v>
      </c>
      <c r="D1125" s="10" t="str">
        <f>"袁晓晓"</f>
        <v>袁晓晓</v>
      </c>
      <c r="E1125" s="10" t="str">
        <f t="shared" si="52"/>
        <v>女</v>
      </c>
      <c r="F1125" s="10"/>
    </row>
    <row r="1126" spans="1:6" ht="34.5" customHeight="1">
      <c r="A1126" s="9">
        <v>1124</v>
      </c>
      <c r="B1126" s="10" t="str">
        <f>"54492023070221195194729"</f>
        <v>54492023070221195194729</v>
      </c>
      <c r="C1126" s="10" t="s">
        <v>11</v>
      </c>
      <c r="D1126" s="10" t="str">
        <f>"吴春燕"</f>
        <v>吴春燕</v>
      </c>
      <c r="E1126" s="10" t="str">
        <f t="shared" si="52"/>
        <v>女</v>
      </c>
      <c r="F1126" s="10"/>
    </row>
    <row r="1127" spans="1:6" ht="34.5" customHeight="1">
      <c r="A1127" s="9">
        <v>1125</v>
      </c>
      <c r="B1127" s="10" t="str">
        <f>"54492023070221172594721"</f>
        <v>54492023070221172594721</v>
      </c>
      <c r="C1127" s="10" t="s">
        <v>11</v>
      </c>
      <c r="D1127" s="10" t="str">
        <f>"王子梅"</f>
        <v>王子梅</v>
      </c>
      <c r="E1127" s="10" t="str">
        <f t="shared" si="52"/>
        <v>女</v>
      </c>
      <c r="F1127" s="10"/>
    </row>
    <row r="1128" spans="1:6" ht="34.5" customHeight="1">
      <c r="A1128" s="9">
        <v>1126</v>
      </c>
      <c r="B1128" s="10" t="str">
        <f>"54492023070221334194778"</f>
        <v>54492023070221334194778</v>
      </c>
      <c r="C1128" s="10" t="s">
        <v>11</v>
      </c>
      <c r="D1128" s="10" t="str">
        <f>"周欣"</f>
        <v>周欣</v>
      </c>
      <c r="E1128" s="10" t="str">
        <f t="shared" si="52"/>
        <v>女</v>
      </c>
      <c r="F1128" s="10"/>
    </row>
    <row r="1129" spans="1:6" ht="34.5" customHeight="1">
      <c r="A1129" s="9">
        <v>1127</v>
      </c>
      <c r="B1129" s="10" t="str">
        <f>"54492023070219451394493"</f>
        <v>54492023070219451394493</v>
      </c>
      <c r="C1129" s="10" t="s">
        <v>11</v>
      </c>
      <c r="D1129" s="10" t="str">
        <f>"吴歆"</f>
        <v>吴歆</v>
      </c>
      <c r="E1129" s="10" t="str">
        <f t="shared" si="52"/>
        <v>女</v>
      </c>
      <c r="F1129" s="10"/>
    </row>
    <row r="1130" spans="1:6" ht="34.5" customHeight="1">
      <c r="A1130" s="9">
        <v>1128</v>
      </c>
      <c r="B1130" s="10" t="str">
        <f>"54492023070217594894290"</f>
        <v>54492023070217594894290</v>
      </c>
      <c r="C1130" s="10" t="s">
        <v>11</v>
      </c>
      <c r="D1130" s="10" t="str">
        <f>"张春娇"</f>
        <v>张春娇</v>
      </c>
      <c r="E1130" s="10" t="str">
        <f t="shared" si="52"/>
        <v>女</v>
      </c>
      <c r="F1130" s="10"/>
    </row>
    <row r="1131" spans="1:6" ht="34.5" customHeight="1">
      <c r="A1131" s="9">
        <v>1129</v>
      </c>
      <c r="B1131" s="10" t="str">
        <f>"54492023070223173995052"</f>
        <v>54492023070223173995052</v>
      </c>
      <c r="C1131" s="10" t="s">
        <v>11</v>
      </c>
      <c r="D1131" s="10" t="str">
        <f>"刘邢鹏"</f>
        <v>刘邢鹏</v>
      </c>
      <c r="E1131" s="10" t="str">
        <f>"男"</f>
        <v>男</v>
      </c>
      <c r="F1131" s="10"/>
    </row>
    <row r="1132" spans="1:6" ht="34.5" customHeight="1">
      <c r="A1132" s="9">
        <v>1130</v>
      </c>
      <c r="B1132" s="10" t="str">
        <f>"54492023070223344795085"</f>
        <v>54492023070223344795085</v>
      </c>
      <c r="C1132" s="10" t="s">
        <v>11</v>
      </c>
      <c r="D1132" s="10" t="str">
        <f>"林良妹"</f>
        <v>林良妹</v>
      </c>
      <c r="E1132" s="10" t="str">
        <f>"女"</f>
        <v>女</v>
      </c>
      <c r="F1132" s="10"/>
    </row>
    <row r="1133" spans="1:6" ht="34.5" customHeight="1">
      <c r="A1133" s="9">
        <v>1131</v>
      </c>
      <c r="B1133" s="10" t="str">
        <f>"54492023070300125295147"</f>
        <v>54492023070300125295147</v>
      </c>
      <c r="C1133" s="10" t="s">
        <v>11</v>
      </c>
      <c r="D1133" s="10" t="str">
        <f>"郑渊木"</f>
        <v>郑渊木</v>
      </c>
      <c r="E1133" s="10" t="str">
        <f>"男"</f>
        <v>男</v>
      </c>
      <c r="F1133" s="10"/>
    </row>
    <row r="1134" spans="1:6" ht="34.5" customHeight="1">
      <c r="A1134" s="9">
        <v>1132</v>
      </c>
      <c r="B1134" s="10" t="str">
        <f>"54492023070210271793164"</f>
        <v>54492023070210271793164</v>
      </c>
      <c r="C1134" s="10" t="s">
        <v>11</v>
      </c>
      <c r="D1134" s="10" t="str">
        <f>"杨婷"</f>
        <v>杨婷</v>
      </c>
      <c r="E1134" s="10" t="str">
        <f>"女"</f>
        <v>女</v>
      </c>
      <c r="F1134" s="10"/>
    </row>
    <row r="1135" spans="1:6" ht="34.5" customHeight="1">
      <c r="A1135" s="9">
        <v>1133</v>
      </c>
      <c r="B1135" s="10" t="str">
        <f>"54492023070308313695331"</f>
        <v>54492023070308313695331</v>
      </c>
      <c r="C1135" s="10" t="s">
        <v>11</v>
      </c>
      <c r="D1135" s="10" t="str">
        <f>"翁敦鹏"</f>
        <v>翁敦鹏</v>
      </c>
      <c r="E1135" s="10" t="str">
        <f>"男"</f>
        <v>男</v>
      </c>
      <c r="F1135" s="10"/>
    </row>
    <row r="1136" spans="1:6" ht="34.5" customHeight="1">
      <c r="A1136" s="9">
        <v>1134</v>
      </c>
      <c r="B1136" s="10" t="str">
        <f>"54492023070309190895679"</f>
        <v>54492023070309190895679</v>
      </c>
      <c r="C1136" s="10" t="s">
        <v>11</v>
      </c>
      <c r="D1136" s="10" t="str">
        <f>"李柔仙"</f>
        <v>李柔仙</v>
      </c>
      <c r="E1136" s="10" t="str">
        <f>"女"</f>
        <v>女</v>
      </c>
      <c r="F1136" s="10"/>
    </row>
    <row r="1137" spans="1:6" ht="34.5" customHeight="1">
      <c r="A1137" s="9">
        <v>1135</v>
      </c>
      <c r="B1137" s="10" t="str">
        <f>"54492023070309050295515"</f>
        <v>54492023070309050295515</v>
      </c>
      <c r="C1137" s="10" t="s">
        <v>11</v>
      </c>
      <c r="D1137" s="10" t="str">
        <f>"王玥"</f>
        <v>王玥</v>
      </c>
      <c r="E1137" s="10" t="str">
        <f>"女"</f>
        <v>女</v>
      </c>
      <c r="F1137" s="10"/>
    </row>
    <row r="1138" spans="1:6" ht="34.5" customHeight="1">
      <c r="A1138" s="9">
        <v>1136</v>
      </c>
      <c r="B1138" s="10" t="str">
        <f>"54492023070308095095283"</f>
        <v>54492023070308095095283</v>
      </c>
      <c r="C1138" s="10" t="s">
        <v>11</v>
      </c>
      <c r="D1138" s="10" t="str">
        <f>"于淼"</f>
        <v>于淼</v>
      </c>
      <c r="E1138" s="10" t="str">
        <f>"女"</f>
        <v>女</v>
      </c>
      <c r="F1138" s="10"/>
    </row>
    <row r="1139" spans="1:6" ht="34.5" customHeight="1">
      <c r="A1139" s="9">
        <v>1137</v>
      </c>
      <c r="B1139" s="10" t="str">
        <f>"54492023070308312295329"</f>
        <v>54492023070308312295329</v>
      </c>
      <c r="C1139" s="10" t="s">
        <v>11</v>
      </c>
      <c r="D1139" s="10" t="str">
        <f>"张毓"</f>
        <v>张毓</v>
      </c>
      <c r="E1139" s="10" t="str">
        <f>"女"</f>
        <v>女</v>
      </c>
      <c r="F1139" s="10"/>
    </row>
    <row r="1140" spans="1:6" ht="34.5" customHeight="1">
      <c r="A1140" s="9">
        <v>1138</v>
      </c>
      <c r="B1140" s="10" t="str">
        <f>"54492023070223103595037"</f>
        <v>54492023070223103595037</v>
      </c>
      <c r="C1140" s="10" t="s">
        <v>11</v>
      </c>
      <c r="D1140" s="10" t="str">
        <f>"陈泽桦"</f>
        <v>陈泽桦</v>
      </c>
      <c r="E1140" s="10" t="str">
        <f>"男"</f>
        <v>男</v>
      </c>
      <c r="F1140" s="10"/>
    </row>
    <row r="1141" spans="1:6" ht="34.5" customHeight="1">
      <c r="A1141" s="9">
        <v>1139</v>
      </c>
      <c r="B1141" s="10" t="str">
        <f>"54492023070310330496308"</f>
        <v>54492023070310330496308</v>
      </c>
      <c r="C1141" s="10" t="s">
        <v>11</v>
      </c>
      <c r="D1141" s="10" t="str">
        <f>"张敏梅"</f>
        <v>张敏梅</v>
      </c>
      <c r="E1141" s="10" t="str">
        <f>"女"</f>
        <v>女</v>
      </c>
      <c r="F1141" s="10"/>
    </row>
    <row r="1142" spans="1:6" ht="34.5" customHeight="1">
      <c r="A1142" s="9">
        <v>1140</v>
      </c>
      <c r="B1142" s="10" t="str">
        <f>"54492023070311153396636"</f>
        <v>54492023070311153396636</v>
      </c>
      <c r="C1142" s="10" t="s">
        <v>11</v>
      </c>
      <c r="D1142" s="10" t="str">
        <f>"韦海莉"</f>
        <v>韦海莉</v>
      </c>
      <c r="E1142" s="10" t="str">
        <f>"女"</f>
        <v>女</v>
      </c>
      <c r="F1142" s="10"/>
    </row>
    <row r="1143" spans="1:6" ht="34.5" customHeight="1">
      <c r="A1143" s="9">
        <v>1141</v>
      </c>
      <c r="B1143" s="10" t="str">
        <f>"54492023070211070493290"</f>
        <v>54492023070211070493290</v>
      </c>
      <c r="C1143" s="10" t="s">
        <v>11</v>
      </c>
      <c r="D1143" s="10" t="str">
        <f>"林映言"</f>
        <v>林映言</v>
      </c>
      <c r="E1143" s="10" t="str">
        <f>"女"</f>
        <v>女</v>
      </c>
      <c r="F1143" s="10"/>
    </row>
    <row r="1144" spans="1:6" ht="34.5" customHeight="1">
      <c r="A1144" s="9">
        <v>1142</v>
      </c>
      <c r="B1144" s="10" t="str">
        <f>"54492023070312082196928"</f>
        <v>54492023070312082196928</v>
      </c>
      <c r="C1144" s="10" t="s">
        <v>11</v>
      </c>
      <c r="D1144" s="10" t="str">
        <f>"梁宝文"</f>
        <v>梁宝文</v>
      </c>
      <c r="E1144" s="10" t="str">
        <f>"女"</f>
        <v>女</v>
      </c>
      <c r="F1144" s="10"/>
    </row>
    <row r="1145" spans="1:6" ht="34.5" customHeight="1">
      <c r="A1145" s="9">
        <v>1143</v>
      </c>
      <c r="B1145" s="10" t="str">
        <f>"54492023070313012097257"</f>
        <v>54492023070313012097257</v>
      </c>
      <c r="C1145" s="10" t="s">
        <v>11</v>
      </c>
      <c r="D1145" s="10" t="str">
        <f>"符笑琼"</f>
        <v>符笑琼</v>
      </c>
      <c r="E1145" s="10" t="str">
        <f>"女"</f>
        <v>女</v>
      </c>
      <c r="F1145" s="10"/>
    </row>
    <row r="1146" spans="1:6" ht="34.5" customHeight="1">
      <c r="A1146" s="9">
        <v>1144</v>
      </c>
      <c r="B1146" s="10" t="str">
        <f>"54492023070313151497344"</f>
        <v>54492023070313151497344</v>
      </c>
      <c r="C1146" s="10" t="s">
        <v>11</v>
      </c>
      <c r="D1146" s="10" t="str">
        <f>"陈林"</f>
        <v>陈林</v>
      </c>
      <c r="E1146" s="10" t="str">
        <f>"男"</f>
        <v>男</v>
      </c>
      <c r="F1146" s="10"/>
    </row>
    <row r="1147" spans="1:6" ht="34.5" customHeight="1">
      <c r="A1147" s="9">
        <v>1145</v>
      </c>
      <c r="B1147" s="10" t="str">
        <f>"54492023070311132296619"</f>
        <v>54492023070311132296619</v>
      </c>
      <c r="C1147" s="10" t="s">
        <v>11</v>
      </c>
      <c r="D1147" s="10" t="str">
        <f>"陆娟"</f>
        <v>陆娟</v>
      </c>
      <c r="E1147" s="10" t="str">
        <f aca="true" t="shared" si="53" ref="E1147:E1155">"女"</f>
        <v>女</v>
      </c>
      <c r="F1147" s="10"/>
    </row>
    <row r="1148" spans="1:6" ht="34.5" customHeight="1">
      <c r="A1148" s="9">
        <v>1146</v>
      </c>
      <c r="B1148" s="10" t="str">
        <f>"54492023070313305097405"</f>
        <v>54492023070313305097405</v>
      </c>
      <c r="C1148" s="10" t="s">
        <v>11</v>
      </c>
      <c r="D1148" s="10" t="str">
        <f>"刘桐冰"</f>
        <v>刘桐冰</v>
      </c>
      <c r="E1148" s="10" t="str">
        <f t="shared" si="53"/>
        <v>女</v>
      </c>
      <c r="F1148" s="10"/>
    </row>
    <row r="1149" spans="1:6" ht="34.5" customHeight="1">
      <c r="A1149" s="9">
        <v>1147</v>
      </c>
      <c r="B1149" s="10" t="str">
        <f>"54492023070314334297640"</f>
        <v>54492023070314334297640</v>
      </c>
      <c r="C1149" s="10" t="s">
        <v>11</v>
      </c>
      <c r="D1149" s="10" t="str">
        <f>"钟琪琪"</f>
        <v>钟琪琪</v>
      </c>
      <c r="E1149" s="10" t="str">
        <f t="shared" si="53"/>
        <v>女</v>
      </c>
      <c r="F1149" s="10"/>
    </row>
    <row r="1150" spans="1:6" ht="34.5" customHeight="1">
      <c r="A1150" s="9">
        <v>1148</v>
      </c>
      <c r="B1150" s="10" t="str">
        <f>"54492023070312230997021"</f>
        <v>54492023070312230997021</v>
      </c>
      <c r="C1150" s="10" t="s">
        <v>11</v>
      </c>
      <c r="D1150" s="10" t="str">
        <f>"刘子晴"</f>
        <v>刘子晴</v>
      </c>
      <c r="E1150" s="10" t="str">
        <f t="shared" si="53"/>
        <v>女</v>
      </c>
      <c r="F1150" s="10"/>
    </row>
    <row r="1151" spans="1:6" ht="34.5" customHeight="1">
      <c r="A1151" s="9">
        <v>1149</v>
      </c>
      <c r="B1151" s="10" t="str">
        <f>"54492023070307291695239"</f>
        <v>54492023070307291695239</v>
      </c>
      <c r="C1151" s="10" t="s">
        <v>11</v>
      </c>
      <c r="D1151" s="10" t="str">
        <f>"符翠"</f>
        <v>符翠</v>
      </c>
      <c r="E1151" s="10" t="str">
        <f t="shared" si="53"/>
        <v>女</v>
      </c>
      <c r="F1151" s="10"/>
    </row>
    <row r="1152" spans="1:6" ht="34.5" customHeight="1">
      <c r="A1152" s="9">
        <v>1150</v>
      </c>
      <c r="B1152" s="10" t="str">
        <f>"54492023070312564197227"</f>
        <v>54492023070312564197227</v>
      </c>
      <c r="C1152" s="10" t="s">
        <v>11</v>
      </c>
      <c r="D1152" s="10" t="str">
        <f>"罗清"</f>
        <v>罗清</v>
      </c>
      <c r="E1152" s="10" t="str">
        <f t="shared" si="53"/>
        <v>女</v>
      </c>
      <c r="F1152" s="10"/>
    </row>
    <row r="1153" spans="1:6" ht="34.5" customHeight="1">
      <c r="A1153" s="9">
        <v>1151</v>
      </c>
      <c r="B1153" s="10" t="str">
        <f>"54492023070319143099057"</f>
        <v>54492023070319143099057</v>
      </c>
      <c r="C1153" s="10" t="s">
        <v>11</v>
      </c>
      <c r="D1153" s="10" t="str">
        <f>"唐桂花"</f>
        <v>唐桂花</v>
      </c>
      <c r="E1153" s="10" t="str">
        <f t="shared" si="53"/>
        <v>女</v>
      </c>
      <c r="F1153" s="10"/>
    </row>
    <row r="1154" spans="1:6" ht="34.5" customHeight="1">
      <c r="A1154" s="9">
        <v>1152</v>
      </c>
      <c r="B1154" s="10" t="str">
        <f>"54492023070311164796645"</f>
        <v>54492023070311164796645</v>
      </c>
      <c r="C1154" s="10" t="s">
        <v>11</v>
      </c>
      <c r="D1154" s="10" t="str">
        <f>"田冉冉"</f>
        <v>田冉冉</v>
      </c>
      <c r="E1154" s="10" t="str">
        <f t="shared" si="53"/>
        <v>女</v>
      </c>
      <c r="F1154" s="10"/>
    </row>
    <row r="1155" spans="1:6" ht="34.5" customHeight="1">
      <c r="A1155" s="9">
        <v>1153</v>
      </c>
      <c r="B1155" s="10" t="str">
        <f>"54492023070318590899012"</f>
        <v>54492023070318590899012</v>
      </c>
      <c r="C1155" s="10" t="s">
        <v>11</v>
      </c>
      <c r="D1155" s="10" t="str">
        <f>"李海玲"</f>
        <v>李海玲</v>
      </c>
      <c r="E1155" s="10" t="str">
        <f t="shared" si="53"/>
        <v>女</v>
      </c>
      <c r="F1155" s="10"/>
    </row>
    <row r="1156" spans="1:6" ht="34.5" customHeight="1">
      <c r="A1156" s="9">
        <v>1154</v>
      </c>
      <c r="B1156" s="10" t="str">
        <f>"54492023070221493794820"</f>
        <v>54492023070221493794820</v>
      </c>
      <c r="C1156" s="10" t="s">
        <v>11</v>
      </c>
      <c r="D1156" s="10" t="str">
        <f>"刘春雨"</f>
        <v>刘春雨</v>
      </c>
      <c r="E1156" s="10" t="str">
        <f>"男"</f>
        <v>男</v>
      </c>
      <c r="F1156" s="10"/>
    </row>
    <row r="1157" spans="1:6" ht="34.5" customHeight="1">
      <c r="A1157" s="9">
        <v>1155</v>
      </c>
      <c r="B1157" s="10" t="str">
        <f>"54492023070319362699134"</f>
        <v>54492023070319362699134</v>
      </c>
      <c r="C1157" s="10" t="s">
        <v>11</v>
      </c>
      <c r="D1157" s="10" t="str">
        <f>"刘翠"</f>
        <v>刘翠</v>
      </c>
      <c r="E1157" s="10" t="str">
        <f>"女"</f>
        <v>女</v>
      </c>
      <c r="F1157" s="10"/>
    </row>
    <row r="1158" spans="1:6" ht="34.5" customHeight="1">
      <c r="A1158" s="9">
        <v>1156</v>
      </c>
      <c r="B1158" s="10" t="str">
        <f>"54492023070321071699564"</f>
        <v>54492023070321071699564</v>
      </c>
      <c r="C1158" s="10" t="s">
        <v>11</v>
      </c>
      <c r="D1158" s="10" t="str">
        <f>"宋莉"</f>
        <v>宋莉</v>
      </c>
      <c r="E1158" s="10" t="str">
        <f>"女"</f>
        <v>女</v>
      </c>
      <c r="F1158" s="10"/>
    </row>
    <row r="1159" spans="1:6" ht="34.5" customHeight="1">
      <c r="A1159" s="9">
        <v>1157</v>
      </c>
      <c r="B1159" s="10" t="str">
        <f>"54492023070218025694293"</f>
        <v>54492023070218025694293</v>
      </c>
      <c r="C1159" s="10" t="s">
        <v>11</v>
      </c>
      <c r="D1159" s="10" t="str">
        <f>"杨婉妤"</f>
        <v>杨婉妤</v>
      </c>
      <c r="E1159" s="10" t="str">
        <f>"女"</f>
        <v>女</v>
      </c>
      <c r="F1159" s="10"/>
    </row>
    <row r="1160" spans="1:6" ht="34.5" customHeight="1">
      <c r="A1160" s="9">
        <v>1158</v>
      </c>
      <c r="B1160" s="10" t="str">
        <f>"544920230704072836100469"</f>
        <v>544920230704072836100469</v>
      </c>
      <c r="C1160" s="10" t="s">
        <v>11</v>
      </c>
      <c r="D1160" s="10" t="str">
        <f>"陈碧云"</f>
        <v>陈碧云</v>
      </c>
      <c r="E1160" s="10" t="str">
        <f>"女"</f>
        <v>女</v>
      </c>
      <c r="F1160" s="10"/>
    </row>
    <row r="1161" spans="1:6" ht="34.5" customHeight="1">
      <c r="A1161" s="9">
        <v>1159</v>
      </c>
      <c r="B1161" s="10" t="str">
        <f>"544920230704083915100625"</f>
        <v>544920230704083915100625</v>
      </c>
      <c r="C1161" s="10" t="s">
        <v>11</v>
      </c>
      <c r="D1161" s="10" t="str">
        <f>"周云青"</f>
        <v>周云青</v>
      </c>
      <c r="E1161" s="10" t="str">
        <f>"女"</f>
        <v>女</v>
      </c>
      <c r="F1161" s="10"/>
    </row>
    <row r="1162" spans="1:6" ht="34.5" customHeight="1">
      <c r="A1162" s="9">
        <v>1160</v>
      </c>
      <c r="B1162" s="10" t="str">
        <f>"544920230704093820100897"</f>
        <v>544920230704093820100897</v>
      </c>
      <c r="C1162" s="10" t="s">
        <v>11</v>
      </c>
      <c r="D1162" s="10" t="str">
        <f>"卢哨"</f>
        <v>卢哨</v>
      </c>
      <c r="E1162" s="10" t="str">
        <f>"男"</f>
        <v>男</v>
      </c>
      <c r="F1162" s="10"/>
    </row>
    <row r="1163" spans="1:6" ht="34.5" customHeight="1">
      <c r="A1163" s="9">
        <v>1161</v>
      </c>
      <c r="B1163" s="10" t="str">
        <f>"544920230704094729100957"</f>
        <v>544920230704094729100957</v>
      </c>
      <c r="C1163" s="10" t="s">
        <v>11</v>
      </c>
      <c r="D1163" s="10" t="str">
        <f>"羊玉薇"</f>
        <v>羊玉薇</v>
      </c>
      <c r="E1163" s="10" t="str">
        <f>"女"</f>
        <v>女</v>
      </c>
      <c r="F1163" s="10"/>
    </row>
    <row r="1164" spans="1:6" ht="34.5" customHeight="1">
      <c r="A1164" s="9">
        <v>1162</v>
      </c>
      <c r="B1164" s="10" t="str">
        <f>"544920230704103124101166"</f>
        <v>544920230704103124101166</v>
      </c>
      <c r="C1164" s="10" t="s">
        <v>11</v>
      </c>
      <c r="D1164" s="10" t="str">
        <f>"曾巧"</f>
        <v>曾巧</v>
      </c>
      <c r="E1164" s="10" t="str">
        <f>"女"</f>
        <v>女</v>
      </c>
      <c r="F1164" s="10"/>
    </row>
    <row r="1165" spans="1:6" ht="34.5" customHeight="1">
      <c r="A1165" s="9">
        <v>1163</v>
      </c>
      <c r="B1165" s="10" t="str">
        <f>"544920230704113111101470"</f>
        <v>544920230704113111101470</v>
      </c>
      <c r="C1165" s="10" t="s">
        <v>11</v>
      </c>
      <c r="D1165" s="10" t="str">
        <f>"孟泽"</f>
        <v>孟泽</v>
      </c>
      <c r="E1165" s="10" t="str">
        <f>"女"</f>
        <v>女</v>
      </c>
      <c r="F1165" s="10"/>
    </row>
    <row r="1166" spans="1:6" ht="34.5" customHeight="1">
      <c r="A1166" s="9">
        <v>1164</v>
      </c>
      <c r="B1166" s="10" t="str">
        <f>"54492023070310074696117"</f>
        <v>54492023070310074696117</v>
      </c>
      <c r="C1166" s="10" t="s">
        <v>11</v>
      </c>
      <c r="D1166" s="10" t="str">
        <f>"王翔"</f>
        <v>王翔</v>
      </c>
      <c r="E1166" s="10" t="str">
        <f>"男"</f>
        <v>男</v>
      </c>
      <c r="F1166" s="10"/>
    </row>
    <row r="1167" spans="1:6" ht="34.5" customHeight="1">
      <c r="A1167" s="9">
        <v>1165</v>
      </c>
      <c r="B1167" s="10" t="str">
        <f>"54492023070317560298775"</f>
        <v>54492023070317560298775</v>
      </c>
      <c r="C1167" s="10" t="s">
        <v>11</v>
      </c>
      <c r="D1167" s="10" t="str">
        <f>"黄芳"</f>
        <v>黄芳</v>
      </c>
      <c r="E1167" s="10" t="str">
        <f>"女"</f>
        <v>女</v>
      </c>
      <c r="F1167" s="10"/>
    </row>
    <row r="1168" spans="1:6" ht="34.5" customHeight="1">
      <c r="A1168" s="9">
        <v>1166</v>
      </c>
      <c r="B1168" s="10" t="str">
        <f>"544920230704121416101637"</f>
        <v>544920230704121416101637</v>
      </c>
      <c r="C1168" s="10" t="s">
        <v>11</v>
      </c>
      <c r="D1168" s="10" t="str">
        <f>"羊颜媛"</f>
        <v>羊颜媛</v>
      </c>
      <c r="E1168" s="10" t="str">
        <f>"女"</f>
        <v>女</v>
      </c>
      <c r="F1168" s="10"/>
    </row>
    <row r="1169" spans="1:6" ht="34.5" customHeight="1">
      <c r="A1169" s="9">
        <v>1167</v>
      </c>
      <c r="B1169" s="10" t="str">
        <f>"54492023070311442996810"</f>
        <v>54492023070311442996810</v>
      </c>
      <c r="C1169" s="10" t="s">
        <v>11</v>
      </c>
      <c r="D1169" s="10" t="str">
        <f>"陈虹玉"</f>
        <v>陈虹玉</v>
      </c>
      <c r="E1169" s="10" t="str">
        <f>"女"</f>
        <v>女</v>
      </c>
      <c r="F1169" s="10"/>
    </row>
    <row r="1170" spans="1:6" ht="34.5" customHeight="1">
      <c r="A1170" s="9">
        <v>1168</v>
      </c>
      <c r="B1170" s="10" t="str">
        <f>"544920230704140319101892"</f>
        <v>544920230704140319101892</v>
      </c>
      <c r="C1170" s="10" t="s">
        <v>11</v>
      </c>
      <c r="D1170" s="10" t="str">
        <f>"肖煜"</f>
        <v>肖煜</v>
      </c>
      <c r="E1170" s="10" t="str">
        <f>"女"</f>
        <v>女</v>
      </c>
      <c r="F1170" s="10"/>
    </row>
    <row r="1171" spans="1:6" ht="34.5" customHeight="1">
      <c r="A1171" s="9">
        <v>1169</v>
      </c>
      <c r="B1171" s="10" t="str">
        <f>"54492023070315565798156"</f>
        <v>54492023070315565798156</v>
      </c>
      <c r="C1171" s="10" t="s">
        <v>11</v>
      </c>
      <c r="D1171" s="10" t="str">
        <f>"张婧"</f>
        <v>张婧</v>
      </c>
      <c r="E1171" s="10" t="str">
        <f>"女"</f>
        <v>女</v>
      </c>
      <c r="F1171" s="10" t="str">
        <f>"身份证后四位为9821"</f>
        <v>身份证后四位为9821</v>
      </c>
    </row>
    <row r="1172" spans="1:6" ht="34.5" customHeight="1">
      <c r="A1172" s="9">
        <v>1170</v>
      </c>
      <c r="B1172" s="10" t="str">
        <f>"544920230704020249100401"</f>
        <v>544920230704020249100401</v>
      </c>
      <c r="C1172" s="10" t="s">
        <v>11</v>
      </c>
      <c r="D1172" s="10" t="str">
        <f>"汤子贤"</f>
        <v>汤子贤</v>
      </c>
      <c r="E1172" s="10" t="str">
        <f>"男"</f>
        <v>男</v>
      </c>
      <c r="F1172" s="10"/>
    </row>
    <row r="1173" spans="1:6" ht="34.5" customHeight="1">
      <c r="A1173" s="9">
        <v>1171</v>
      </c>
      <c r="B1173" s="10" t="str">
        <f>"544920230704165503102423"</f>
        <v>544920230704165503102423</v>
      </c>
      <c r="C1173" s="10" t="s">
        <v>11</v>
      </c>
      <c r="D1173" s="10" t="str">
        <f>"方可欣"</f>
        <v>方可欣</v>
      </c>
      <c r="E1173" s="10" t="str">
        <f>"女"</f>
        <v>女</v>
      </c>
      <c r="F1173" s="10"/>
    </row>
    <row r="1174" spans="1:6" ht="34.5" customHeight="1">
      <c r="A1174" s="9">
        <v>1172</v>
      </c>
      <c r="B1174" s="10" t="str">
        <f>"544920230704171245102484"</f>
        <v>544920230704171245102484</v>
      </c>
      <c r="C1174" s="10" t="s">
        <v>11</v>
      </c>
      <c r="D1174" s="10" t="str">
        <f>"张向齐"</f>
        <v>张向齐</v>
      </c>
      <c r="E1174" s="10" t="str">
        <f>"女"</f>
        <v>女</v>
      </c>
      <c r="F1174" s="10"/>
    </row>
    <row r="1175" spans="1:6" ht="34.5" customHeight="1">
      <c r="A1175" s="9">
        <v>1173</v>
      </c>
      <c r="B1175" s="10" t="str">
        <f>"544920230704173422102549"</f>
        <v>544920230704173422102549</v>
      </c>
      <c r="C1175" s="10" t="s">
        <v>11</v>
      </c>
      <c r="D1175" s="10" t="str">
        <f>"顾梦怡"</f>
        <v>顾梦怡</v>
      </c>
      <c r="E1175" s="10" t="str">
        <f>"女"</f>
        <v>女</v>
      </c>
      <c r="F1175" s="10"/>
    </row>
    <row r="1176" spans="1:6" ht="34.5" customHeight="1">
      <c r="A1176" s="9">
        <v>1174</v>
      </c>
      <c r="B1176" s="10" t="str">
        <f>"54492023070215575594004"</f>
        <v>54492023070215575594004</v>
      </c>
      <c r="C1176" s="10" t="s">
        <v>11</v>
      </c>
      <c r="D1176" s="10" t="str">
        <f>"唐有依"</f>
        <v>唐有依</v>
      </c>
      <c r="E1176" s="10" t="str">
        <f>"女"</f>
        <v>女</v>
      </c>
      <c r="F1176" s="10"/>
    </row>
    <row r="1177" spans="1:6" ht="34.5" customHeight="1">
      <c r="A1177" s="9">
        <v>1175</v>
      </c>
      <c r="B1177" s="10" t="str">
        <f>"54492023070321165899619"</f>
        <v>54492023070321165899619</v>
      </c>
      <c r="C1177" s="10" t="s">
        <v>11</v>
      </c>
      <c r="D1177" s="10" t="str">
        <f>"李尧"</f>
        <v>李尧</v>
      </c>
      <c r="E1177" s="10" t="str">
        <f>"男"</f>
        <v>男</v>
      </c>
      <c r="F1177" s="10"/>
    </row>
    <row r="1178" spans="1:6" ht="34.5" customHeight="1">
      <c r="A1178" s="9">
        <v>1176</v>
      </c>
      <c r="B1178" s="10" t="str">
        <f>"544920230704192006102828"</f>
        <v>544920230704192006102828</v>
      </c>
      <c r="C1178" s="10" t="s">
        <v>11</v>
      </c>
      <c r="D1178" s="10" t="str">
        <f>"刘旭楠"</f>
        <v>刘旭楠</v>
      </c>
      <c r="E1178" s="10" t="str">
        <f>"女"</f>
        <v>女</v>
      </c>
      <c r="F1178" s="10"/>
    </row>
    <row r="1179" spans="1:6" ht="34.5" customHeight="1">
      <c r="A1179" s="9">
        <v>1177</v>
      </c>
      <c r="B1179" s="10" t="str">
        <f>"54492023070209072692966"</f>
        <v>54492023070209072692966</v>
      </c>
      <c r="C1179" s="10" t="s">
        <v>11</v>
      </c>
      <c r="D1179" s="10" t="str">
        <f>"孙千惠"</f>
        <v>孙千惠</v>
      </c>
      <c r="E1179" s="10" t="str">
        <f>"女"</f>
        <v>女</v>
      </c>
      <c r="F1179" s="10"/>
    </row>
    <row r="1180" spans="1:6" ht="34.5" customHeight="1">
      <c r="A1180" s="9">
        <v>1178</v>
      </c>
      <c r="B1180" s="10" t="str">
        <f>"544920230704224759103339"</f>
        <v>544920230704224759103339</v>
      </c>
      <c r="C1180" s="10" t="s">
        <v>11</v>
      </c>
      <c r="D1180" s="10" t="str">
        <f>"邱蕾"</f>
        <v>邱蕾</v>
      </c>
      <c r="E1180" s="10" t="str">
        <f>"女"</f>
        <v>女</v>
      </c>
      <c r="F1180" s="10"/>
    </row>
    <row r="1181" spans="1:6" ht="34.5" customHeight="1">
      <c r="A1181" s="9">
        <v>1179</v>
      </c>
      <c r="B1181" s="10" t="str">
        <f>"54492023070316053798202"</f>
        <v>54492023070316053798202</v>
      </c>
      <c r="C1181" s="10" t="s">
        <v>11</v>
      </c>
      <c r="D1181" s="10" t="str">
        <f>"张波"</f>
        <v>张波</v>
      </c>
      <c r="E1181" s="10" t="str">
        <f>"男"</f>
        <v>男</v>
      </c>
      <c r="F1181" s="10"/>
    </row>
    <row r="1182" spans="1:6" ht="34.5" customHeight="1">
      <c r="A1182" s="9">
        <v>1180</v>
      </c>
      <c r="B1182" s="10" t="str">
        <f>"544920230705103739104174"</f>
        <v>544920230705103739104174</v>
      </c>
      <c r="C1182" s="10" t="s">
        <v>11</v>
      </c>
      <c r="D1182" s="10" t="str">
        <f>"李丹阳"</f>
        <v>李丹阳</v>
      </c>
      <c r="E1182" s="10" t="str">
        <f>"女"</f>
        <v>女</v>
      </c>
      <c r="F1182" s="10"/>
    </row>
    <row r="1183" spans="1:6" ht="34.5" customHeight="1">
      <c r="A1183" s="9">
        <v>1181</v>
      </c>
      <c r="B1183" s="10" t="str">
        <f>"544920230704180223102626"</f>
        <v>544920230704180223102626</v>
      </c>
      <c r="C1183" s="10" t="s">
        <v>11</v>
      </c>
      <c r="D1183" s="10" t="str">
        <f>"张雄"</f>
        <v>张雄</v>
      </c>
      <c r="E1183" s="10" t="str">
        <f>"男"</f>
        <v>男</v>
      </c>
      <c r="F1183" s="10"/>
    </row>
    <row r="1184" spans="1:6" ht="34.5" customHeight="1">
      <c r="A1184" s="9">
        <v>1182</v>
      </c>
      <c r="B1184" s="10" t="str">
        <f>"544920230705150226104864"</f>
        <v>544920230705150226104864</v>
      </c>
      <c r="C1184" s="10" t="s">
        <v>11</v>
      </c>
      <c r="D1184" s="10" t="str">
        <f>"黄咪咪"</f>
        <v>黄咪咪</v>
      </c>
      <c r="E1184" s="10" t="str">
        <f aca="true" t="shared" si="54" ref="E1184:E1196">"女"</f>
        <v>女</v>
      </c>
      <c r="F1184" s="10"/>
    </row>
    <row r="1185" spans="1:6" ht="34.5" customHeight="1">
      <c r="A1185" s="9">
        <v>1183</v>
      </c>
      <c r="B1185" s="10" t="str">
        <f>"544920230705154140104999"</f>
        <v>544920230705154140104999</v>
      </c>
      <c r="C1185" s="10" t="s">
        <v>11</v>
      </c>
      <c r="D1185" s="10" t="str">
        <f>"吉婧"</f>
        <v>吉婧</v>
      </c>
      <c r="E1185" s="10" t="str">
        <f t="shared" si="54"/>
        <v>女</v>
      </c>
      <c r="F1185" s="10"/>
    </row>
    <row r="1186" spans="1:6" ht="34.5" customHeight="1">
      <c r="A1186" s="9">
        <v>1184</v>
      </c>
      <c r="B1186" s="10" t="str">
        <f>"544920230705163950105171"</f>
        <v>544920230705163950105171</v>
      </c>
      <c r="C1186" s="10" t="s">
        <v>11</v>
      </c>
      <c r="D1186" s="10" t="str">
        <f>"郑淑楼"</f>
        <v>郑淑楼</v>
      </c>
      <c r="E1186" s="10" t="str">
        <f t="shared" si="54"/>
        <v>女</v>
      </c>
      <c r="F1186" s="10"/>
    </row>
    <row r="1187" spans="1:6" ht="34.5" customHeight="1">
      <c r="A1187" s="9">
        <v>1185</v>
      </c>
      <c r="B1187" s="10" t="str">
        <f>"544920230705165213105195"</f>
        <v>544920230705165213105195</v>
      </c>
      <c r="C1187" s="10" t="s">
        <v>11</v>
      </c>
      <c r="D1187" s="10" t="str">
        <f>"朱文静"</f>
        <v>朱文静</v>
      </c>
      <c r="E1187" s="10" t="str">
        <f t="shared" si="54"/>
        <v>女</v>
      </c>
      <c r="F1187" s="10"/>
    </row>
    <row r="1188" spans="1:6" ht="34.5" customHeight="1">
      <c r="A1188" s="9">
        <v>1186</v>
      </c>
      <c r="B1188" s="10" t="str">
        <f>"544920230705161419105101"</f>
        <v>544920230705161419105101</v>
      </c>
      <c r="C1188" s="10" t="s">
        <v>11</v>
      </c>
      <c r="D1188" s="10" t="str">
        <f>"黄莹"</f>
        <v>黄莹</v>
      </c>
      <c r="E1188" s="10" t="str">
        <f t="shared" si="54"/>
        <v>女</v>
      </c>
      <c r="F1188" s="10"/>
    </row>
    <row r="1189" spans="1:6" ht="34.5" customHeight="1">
      <c r="A1189" s="9">
        <v>1187</v>
      </c>
      <c r="B1189" s="10" t="str">
        <f>"544920230705211002105585"</f>
        <v>544920230705211002105585</v>
      </c>
      <c r="C1189" s="10" t="s">
        <v>11</v>
      </c>
      <c r="D1189" s="10" t="str">
        <f>"周彤"</f>
        <v>周彤</v>
      </c>
      <c r="E1189" s="10" t="str">
        <f t="shared" si="54"/>
        <v>女</v>
      </c>
      <c r="F1189" s="10"/>
    </row>
    <row r="1190" spans="1:6" ht="34.5" customHeight="1">
      <c r="A1190" s="9">
        <v>1188</v>
      </c>
      <c r="B1190" s="10" t="str">
        <f>"54492023070221004894668"</f>
        <v>54492023070221004894668</v>
      </c>
      <c r="C1190" s="10" t="s">
        <v>11</v>
      </c>
      <c r="D1190" s="10" t="str">
        <f>"符良霞"</f>
        <v>符良霞</v>
      </c>
      <c r="E1190" s="10" t="str">
        <f t="shared" si="54"/>
        <v>女</v>
      </c>
      <c r="F1190" s="10"/>
    </row>
    <row r="1191" spans="1:6" ht="34.5" customHeight="1">
      <c r="A1191" s="9">
        <v>1189</v>
      </c>
      <c r="B1191" s="10" t="str">
        <f>"544920230706002812105848"</f>
        <v>544920230706002812105848</v>
      </c>
      <c r="C1191" s="10" t="s">
        <v>11</v>
      </c>
      <c r="D1191" s="10" t="str">
        <f>"张潇月"</f>
        <v>张潇月</v>
      </c>
      <c r="E1191" s="10" t="str">
        <f t="shared" si="54"/>
        <v>女</v>
      </c>
      <c r="F1191" s="10"/>
    </row>
    <row r="1192" spans="1:6" ht="34.5" customHeight="1">
      <c r="A1192" s="9">
        <v>1190</v>
      </c>
      <c r="B1192" s="10" t="str">
        <f>"544920230705103349104159"</f>
        <v>544920230705103349104159</v>
      </c>
      <c r="C1192" s="10" t="s">
        <v>11</v>
      </c>
      <c r="D1192" s="10" t="str">
        <f>"徐明霞"</f>
        <v>徐明霞</v>
      </c>
      <c r="E1192" s="10" t="str">
        <f t="shared" si="54"/>
        <v>女</v>
      </c>
      <c r="F1192" s="10"/>
    </row>
    <row r="1193" spans="1:6" ht="34.5" customHeight="1">
      <c r="A1193" s="9">
        <v>1191</v>
      </c>
      <c r="B1193" s="10" t="str">
        <f>"544920230706092054106498"</f>
        <v>544920230706092054106498</v>
      </c>
      <c r="C1193" s="10" t="s">
        <v>11</v>
      </c>
      <c r="D1193" s="10" t="str">
        <f>"吕泽"</f>
        <v>吕泽</v>
      </c>
      <c r="E1193" s="10" t="str">
        <f t="shared" si="54"/>
        <v>女</v>
      </c>
      <c r="F1193" s="10"/>
    </row>
    <row r="1194" spans="1:6" ht="34.5" customHeight="1">
      <c r="A1194" s="9">
        <v>1192</v>
      </c>
      <c r="B1194" s="10" t="str">
        <f>"54492023070219111894424"</f>
        <v>54492023070219111894424</v>
      </c>
      <c r="C1194" s="10" t="s">
        <v>11</v>
      </c>
      <c r="D1194" s="10" t="str">
        <f>"梅小雪"</f>
        <v>梅小雪</v>
      </c>
      <c r="E1194" s="10" t="str">
        <f t="shared" si="54"/>
        <v>女</v>
      </c>
      <c r="F1194" s="10"/>
    </row>
    <row r="1195" spans="1:6" ht="34.5" customHeight="1">
      <c r="A1195" s="9">
        <v>1193</v>
      </c>
      <c r="B1195" s="10" t="str">
        <f>"544920230706120305107983"</f>
        <v>544920230706120305107983</v>
      </c>
      <c r="C1195" s="10" t="s">
        <v>11</v>
      </c>
      <c r="D1195" s="10" t="str">
        <f>"蔡雪贞"</f>
        <v>蔡雪贞</v>
      </c>
      <c r="E1195" s="10" t="str">
        <f t="shared" si="54"/>
        <v>女</v>
      </c>
      <c r="F1195" s="10"/>
    </row>
    <row r="1196" spans="1:6" ht="34.5" customHeight="1">
      <c r="A1196" s="9">
        <v>1194</v>
      </c>
      <c r="B1196" s="10" t="str">
        <f>"54492023070320522099490"</f>
        <v>54492023070320522099490</v>
      </c>
      <c r="C1196" s="10" t="s">
        <v>11</v>
      </c>
      <c r="D1196" s="10" t="str">
        <f>"王诗洋"</f>
        <v>王诗洋</v>
      </c>
      <c r="E1196" s="10" t="str">
        <f t="shared" si="54"/>
        <v>女</v>
      </c>
      <c r="F1196" s="10"/>
    </row>
    <row r="1197" spans="1:6" ht="34.5" customHeight="1">
      <c r="A1197" s="9">
        <v>1195</v>
      </c>
      <c r="B1197" s="10" t="str">
        <f>"54492023070308310195328"</f>
        <v>54492023070308310195328</v>
      </c>
      <c r="C1197" s="10" t="s">
        <v>11</v>
      </c>
      <c r="D1197" s="10" t="str">
        <f>"杨定琨"</f>
        <v>杨定琨</v>
      </c>
      <c r="E1197" s="10" t="str">
        <f>"男"</f>
        <v>男</v>
      </c>
      <c r="F1197" s="10"/>
    </row>
    <row r="1198" spans="1:6" ht="34.5" customHeight="1">
      <c r="A1198" s="9">
        <v>1196</v>
      </c>
      <c r="B1198" s="10" t="str">
        <f>"544920230706162643109641"</f>
        <v>544920230706162643109641</v>
      </c>
      <c r="C1198" s="10" t="s">
        <v>11</v>
      </c>
      <c r="D1198" s="10" t="str">
        <f>"张艺龄"</f>
        <v>张艺龄</v>
      </c>
      <c r="E1198" s="10" t="str">
        <f>"女"</f>
        <v>女</v>
      </c>
      <c r="F1198" s="10"/>
    </row>
    <row r="1199" spans="1:6" ht="34.5" customHeight="1">
      <c r="A1199" s="9">
        <v>1197</v>
      </c>
      <c r="B1199" s="10" t="str">
        <f>"544920230706162435109626"</f>
        <v>544920230706162435109626</v>
      </c>
      <c r="C1199" s="10" t="s">
        <v>11</v>
      </c>
      <c r="D1199" s="10" t="str">
        <f>"石春武"</f>
        <v>石春武</v>
      </c>
      <c r="E1199" s="10" t="str">
        <f>"男"</f>
        <v>男</v>
      </c>
      <c r="F1199" s="10"/>
    </row>
    <row r="1200" spans="1:6" ht="34.5" customHeight="1">
      <c r="A1200" s="9">
        <v>1198</v>
      </c>
      <c r="B1200" s="10" t="str">
        <f>"544920230704194633102878"</f>
        <v>544920230704194633102878</v>
      </c>
      <c r="C1200" s="10" t="s">
        <v>11</v>
      </c>
      <c r="D1200" s="10" t="str">
        <f>"甄好"</f>
        <v>甄好</v>
      </c>
      <c r="E1200" s="10" t="str">
        <f>"女"</f>
        <v>女</v>
      </c>
      <c r="F1200" s="10"/>
    </row>
    <row r="1201" spans="1:6" ht="34.5" customHeight="1">
      <c r="A1201" s="9">
        <v>1199</v>
      </c>
      <c r="B1201" s="10" t="str">
        <f>"544920230705145030104825"</f>
        <v>544920230705145030104825</v>
      </c>
      <c r="C1201" s="10" t="s">
        <v>11</v>
      </c>
      <c r="D1201" s="10" t="str">
        <f>"何雅婷"</f>
        <v>何雅婷</v>
      </c>
      <c r="E1201" s="10" t="str">
        <f>"女"</f>
        <v>女</v>
      </c>
      <c r="F1201" s="10"/>
    </row>
    <row r="1202" spans="1:6" ht="34.5" customHeight="1">
      <c r="A1202" s="9">
        <v>1200</v>
      </c>
      <c r="B1202" s="10" t="str">
        <f>"544920230706215821111088"</f>
        <v>544920230706215821111088</v>
      </c>
      <c r="C1202" s="10" t="s">
        <v>11</v>
      </c>
      <c r="D1202" s="10" t="str">
        <f>"罗丁蓝"</f>
        <v>罗丁蓝</v>
      </c>
      <c r="E1202" s="10" t="str">
        <f>"女"</f>
        <v>女</v>
      </c>
      <c r="F1202" s="10"/>
    </row>
    <row r="1203" spans="1:6" ht="34.5" customHeight="1">
      <c r="A1203" s="9">
        <v>1201</v>
      </c>
      <c r="B1203" s="10" t="str">
        <f>"544920230706150349109048"</f>
        <v>544920230706150349109048</v>
      </c>
      <c r="C1203" s="10" t="s">
        <v>11</v>
      </c>
      <c r="D1203" s="10" t="str">
        <f>"陈惠凤"</f>
        <v>陈惠凤</v>
      </c>
      <c r="E1203" s="10" t="str">
        <f>"女"</f>
        <v>女</v>
      </c>
      <c r="F1203" s="10"/>
    </row>
    <row r="1204" spans="1:6" ht="34.5" customHeight="1">
      <c r="A1204" s="9">
        <v>1202</v>
      </c>
      <c r="B1204" s="10" t="str">
        <f>"544920230706140801108716"</f>
        <v>544920230706140801108716</v>
      </c>
      <c r="C1204" s="10" t="s">
        <v>11</v>
      </c>
      <c r="D1204" s="10" t="str">
        <f>"陈家雄"</f>
        <v>陈家雄</v>
      </c>
      <c r="E1204" s="10" t="str">
        <f>"男"</f>
        <v>男</v>
      </c>
      <c r="F1204" s="10"/>
    </row>
    <row r="1205" spans="1:6" ht="34.5" customHeight="1">
      <c r="A1205" s="9">
        <v>1203</v>
      </c>
      <c r="B1205" s="10" t="str">
        <f>"544920230706233400111395"</f>
        <v>544920230706233400111395</v>
      </c>
      <c r="C1205" s="10" t="s">
        <v>11</v>
      </c>
      <c r="D1205" s="10" t="str">
        <f>"刘微"</f>
        <v>刘微</v>
      </c>
      <c r="E1205" s="10" t="str">
        <f>"男"</f>
        <v>男</v>
      </c>
      <c r="F1205" s="10"/>
    </row>
    <row r="1206" spans="1:6" ht="34.5" customHeight="1">
      <c r="A1206" s="9">
        <v>1204</v>
      </c>
      <c r="B1206" s="10" t="str">
        <f>"544920230706193337110490"</f>
        <v>544920230706193337110490</v>
      </c>
      <c r="C1206" s="10" t="s">
        <v>11</v>
      </c>
      <c r="D1206" s="10" t="str">
        <f>"陈春蕊"</f>
        <v>陈春蕊</v>
      </c>
      <c r="E1206" s="10" t="str">
        <f aca="true" t="shared" si="55" ref="E1206:E1212">"女"</f>
        <v>女</v>
      </c>
      <c r="F1206" s="10"/>
    </row>
    <row r="1207" spans="1:6" ht="34.5" customHeight="1">
      <c r="A1207" s="9">
        <v>1205</v>
      </c>
      <c r="B1207" s="10" t="str">
        <f>"54492023070220224594560"</f>
        <v>54492023070220224594560</v>
      </c>
      <c r="C1207" s="10" t="s">
        <v>11</v>
      </c>
      <c r="D1207" s="10" t="str">
        <f>"彭智霞"</f>
        <v>彭智霞</v>
      </c>
      <c r="E1207" s="10" t="str">
        <f t="shared" si="55"/>
        <v>女</v>
      </c>
      <c r="F1207" s="10"/>
    </row>
    <row r="1208" spans="1:6" ht="34.5" customHeight="1">
      <c r="A1208" s="9">
        <v>1206</v>
      </c>
      <c r="B1208" s="10" t="str">
        <f>"544920230707151048113711"</f>
        <v>544920230707151048113711</v>
      </c>
      <c r="C1208" s="10" t="s">
        <v>11</v>
      </c>
      <c r="D1208" s="10" t="str">
        <f>"符菁菁"</f>
        <v>符菁菁</v>
      </c>
      <c r="E1208" s="10" t="str">
        <f t="shared" si="55"/>
        <v>女</v>
      </c>
      <c r="F1208" s="10"/>
    </row>
    <row r="1209" spans="1:6" ht="34.5" customHeight="1">
      <c r="A1209" s="9">
        <v>1207</v>
      </c>
      <c r="B1209" s="10" t="str">
        <f>"544920230707131014113170"</f>
        <v>544920230707131014113170</v>
      </c>
      <c r="C1209" s="10" t="s">
        <v>11</v>
      </c>
      <c r="D1209" s="10" t="str">
        <f>"李向向"</f>
        <v>李向向</v>
      </c>
      <c r="E1209" s="10" t="str">
        <f t="shared" si="55"/>
        <v>女</v>
      </c>
      <c r="F1209" s="10"/>
    </row>
    <row r="1210" spans="1:6" ht="34.5" customHeight="1">
      <c r="A1210" s="9">
        <v>1208</v>
      </c>
      <c r="B1210" s="10" t="str">
        <f>"544920230707173931114406"</f>
        <v>544920230707173931114406</v>
      </c>
      <c r="C1210" s="10" t="s">
        <v>11</v>
      </c>
      <c r="D1210" s="10" t="str">
        <f>"符继红"</f>
        <v>符继红</v>
      </c>
      <c r="E1210" s="10" t="str">
        <f t="shared" si="55"/>
        <v>女</v>
      </c>
      <c r="F1210" s="10"/>
    </row>
    <row r="1211" spans="1:6" ht="34.5" customHeight="1">
      <c r="A1211" s="9">
        <v>1209</v>
      </c>
      <c r="B1211" s="10" t="str">
        <f>"544920230707214357115157"</f>
        <v>544920230707214357115157</v>
      </c>
      <c r="C1211" s="10" t="s">
        <v>11</v>
      </c>
      <c r="D1211" s="10" t="str">
        <f>"李鑫欣"</f>
        <v>李鑫欣</v>
      </c>
      <c r="E1211" s="10" t="str">
        <f t="shared" si="55"/>
        <v>女</v>
      </c>
      <c r="F1211" s="10"/>
    </row>
    <row r="1212" spans="1:6" ht="34.5" customHeight="1">
      <c r="A1212" s="9">
        <v>1210</v>
      </c>
      <c r="B1212" s="10" t="str">
        <f>"54492023070221350394782"</f>
        <v>54492023070221350394782</v>
      </c>
      <c r="C1212" s="10" t="s">
        <v>11</v>
      </c>
      <c r="D1212" s="10" t="str">
        <f>"吴姗婵"</f>
        <v>吴姗婵</v>
      </c>
      <c r="E1212" s="10" t="str">
        <f t="shared" si="55"/>
        <v>女</v>
      </c>
      <c r="F1212" s="10"/>
    </row>
    <row r="1213" spans="1:6" ht="34.5" customHeight="1">
      <c r="A1213" s="9">
        <v>1211</v>
      </c>
      <c r="B1213" s="10" t="str">
        <f>"544920230707183645114587"</f>
        <v>544920230707183645114587</v>
      </c>
      <c r="C1213" s="10" t="s">
        <v>11</v>
      </c>
      <c r="D1213" s="10" t="str">
        <f>"朱迪豪"</f>
        <v>朱迪豪</v>
      </c>
      <c r="E1213" s="10" t="str">
        <f>"男"</f>
        <v>男</v>
      </c>
      <c r="F1213" s="10"/>
    </row>
    <row r="1214" spans="1:6" ht="34.5" customHeight="1">
      <c r="A1214" s="9">
        <v>1212</v>
      </c>
      <c r="B1214" s="10" t="str">
        <f>"544920230706010727105859"</f>
        <v>544920230706010727105859</v>
      </c>
      <c r="C1214" s="10" t="s">
        <v>11</v>
      </c>
      <c r="D1214" s="10" t="str">
        <f>"赵昊辰"</f>
        <v>赵昊辰</v>
      </c>
      <c r="E1214" s="10" t="str">
        <f>"女"</f>
        <v>女</v>
      </c>
      <c r="F1214" s="10"/>
    </row>
    <row r="1215" spans="1:6" ht="34.5" customHeight="1">
      <c r="A1215" s="9">
        <v>1213</v>
      </c>
      <c r="B1215" s="10" t="str">
        <f>"544920230707080717111582"</f>
        <v>544920230707080717111582</v>
      </c>
      <c r="C1215" s="10" t="s">
        <v>11</v>
      </c>
      <c r="D1215" s="10" t="str">
        <f>"陈景伟"</f>
        <v>陈景伟</v>
      </c>
      <c r="E1215" s="10" t="str">
        <f>"男"</f>
        <v>男</v>
      </c>
      <c r="F1215" s="10"/>
    </row>
    <row r="1216" spans="1:6" ht="34.5" customHeight="1">
      <c r="A1216" s="9">
        <v>1214</v>
      </c>
      <c r="B1216" s="10" t="str">
        <f>"544920230706213600110990"</f>
        <v>544920230706213600110990</v>
      </c>
      <c r="C1216" s="10" t="s">
        <v>11</v>
      </c>
      <c r="D1216" s="10" t="str">
        <f>"唐南旖"</f>
        <v>唐南旖</v>
      </c>
      <c r="E1216" s="10" t="str">
        <f aca="true" t="shared" si="56" ref="E1216:E1225">"女"</f>
        <v>女</v>
      </c>
      <c r="F1216" s="10"/>
    </row>
    <row r="1217" spans="1:6" ht="34.5" customHeight="1">
      <c r="A1217" s="9">
        <v>1215</v>
      </c>
      <c r="B1217" s="10" t="str">
        <f>"544920230706204112110745"</f>
        <v>544920230706204112110745</v>
      </c>
      <c r="C1217" s="10" t="s">
        <v>11</v>
      </c>
      <c r="D1217" s="10" t="str">
        <f>"苏丽丽"</f>
        <v>苏丽丽</v>
      </c>
      <c r="E1217" s="10" t="str">
        <f t="shared" si="56"/>
        <v>女</v>
      </c>
      <c r="F1217" s="10"/>
    </row>
    <row r="1218" spans="1:6" ht="34.5" customHeight="1">
      <c r="A1218" s="9">
        <v>1216</v>
      </c>
      <c r="B1218" s="10" t="str">
        <f>"544920230708132854116731"</f>
        <v>544920230708132854116731</v>
      </c>
      <c r="C1218" s="10" t="s">
        <v>11</v>
      </c>
      <c r="D1218" s="10" t="str">
        <f>"何桂零"</f>
        <v>何桂零</v>
      </c>
      <c r="E1218" s="10" t="str">
        <f t="shared" si="56"/>
        <v>女</v>
      </c>
      <c r="F1218" s="10"/>
    </row>
    <row r="1219" spans="1:6" ht="34.5" customHeight="1">
      <c r="A1219" s="9">
        <v>1217</v>
      </c>
      <c r="B1219" s="10" t="str">
        <f>"544920230704181655102666"</f>
        <v>544920230704181655102666</v>
      </c>
      <c r="C1219" s="10" t="s">
        <v>11</v>
      </c>
      <c r="D1219" s="10" t="str">
        <f>"王子屹"</f>
        <v>王子屹</v>
      </c>
      <c r="E1219" s="10" t="str">
        <f t="shared" si="56"/>
        <v>女</v>
      </c>
      <c r="F1219" s="10"/>
    </row>
    <row r="1220" spans="1:6" ht="34.5" customHeight="1">
      <c r="A1220" s="9">
        <v>1218</v>
      </c>
      <c r="B1220" s="10" t="str">
        <f>"54492023070314230197596"</f>
        <v>54492023070314230197596</v>
      </c>
      <c r="C1220" s="10" t="s">
        <v>11</v>
      </c>
      <c r="D1220" s="10" t="str">
        <f>"林涓涓"</f>
        <v>林涓涓</v>
      </c>
      <c r="E1220" s="10" t="str">
        <f t="shared" si="56"/>
        <v>女</v>
      </c>
      <c r="F1220" s="10"/>
    </row>
    <row r="1221" spans="1:6" ht="34.5" customHeight="1">
      <c r="A1221" s="9">
        <v>1219</v>
      </c>
      <c r="B1221" s="10" t="str">
        <f>"544920230708171429117566"</f>
        <v>544920230708171429117566</v>
      </c>
      <c r="C1221" s="10" t="s">
        <v>11</v>
      </c>
      <c r="D1221" s="10" t="str">
        <f>"李静玉"</f>
        <v>李静玉</v>
      </c>
      <c r="E1221" s="10" t="str">
        <f t="shared" si="56"/>
        <v>女</v>
      </c>
      <c r="F1221" s="10"/>
    </row>
    <row r="1222" spans="1:6" ht="34.5" customHeight="1">
      <c r="A1222" s="9">
        <v>1220</v>
      </c>
      <c r="B1222" s="10" t="str">
        <f>"544920230708212152117753"</f>
        <v>544920230708212152117753</v>
      </c>
      <c r="C1222" s="10" t="s">
        <v>11</v>
      </c>
      <c r="D1222" s="10" t="str">
        <f>"董格格"</f>
        <v>董格格</v>
      </c>
      <c r="E1222" s="10" t="str">
        <f t="shared" si="56"/>
        <v>女</v>
      </c>
      <c r="F1222" s="10"/>
    </row>
    <row r="1223" spans="1:6" ht="34.5" customHeight="1">
      <c r="A1223" s="9">
        <v>1221</v>
      </c>
      <c r="B1223" s="10" t="str">
        <f>"544920230709012908117899"</f>
        <v>544920230709012908117899</v>
      </c>
      <c r="C1223" s="10" t="s">
        <v>11</v>
      </c>
      <c r="D1223" s="10" t="str">
        <f>"吴忠玲"</f>
        <v>吴忠玲</v>
      </c>
      <c r="E1223" s="10" t="str">
        <f t="shared" si="56"/>
        <v>女</v>
      </c>
      <c r="F1223" s="10"/>
    </row>
    <row r="1224" spans="1:6" ht="34.5" customHeight="1">
      <c r="A1224" s="9">
        <v>1222</v>
      </c>
      <c r="B1224" s="10" t="str">
        <f>"544920230704161627102309"</f>
        <v>544920230704161627102309</v>
      </c>
      <c r="C1224" s="10" t="s">
        <v>11</v>
      </c>
      <c r="D1224" s="10" t="str">
        <f>"宫晗文"</f>
        <v>宫晗文</v>
      </c>
      <c r="E1224" s="10" t="str">
        <f t="shared" si="56"/>
        <v>女</v>
      </c>
      <c r="F1224" s="10"/>
    </row>
    <row r="1225" spans="1:6" ht="34.5" customHeight="1">
      <c r="A1225" s="9">
        <v>1223</v>
      </c>
      <c r="B1225" s="10" t="str">
        <f>"544920230707150519113684"</f>
        <v>544920230707150519113684</v>
      </c>
      <c r="C1225" s="10" t="s">
        <v>11</v>
      </c>
      <c r="D1225" s="10" t="str">
        <f>"徐佳睿"</f>
        <v>徐佳睿</v>
      </c>
      <c r="E1225" s="10" t="str">
        <f t="shared" si="56"/>
        <v>女</v>
      </c>
      <c r="F1225" s="10"/>
    </row>
    <row r="1226" spans="1:6" ht="34.5" customHeight="1">
      <c r="A1226" s="9">
        <v>1224</v>
      </c>
      <c r="B1226" s="10" t="str">
        <f>"544920230709203918118380"</f>
        <v>544920230709203918118380</v>
      </c>
      <c r="C1226" s="10" t="s">
        <v>11</v>
      </c>
      <c r="D1226" s="10" t="str">
        <f>"符书海"</f>
        <v>符书海</v>
      </c>
      <c r="E1226" s="10" t="str">
        <f>"男"</f>
        <v>男</v>
      </c>
      <c r="F1226" s="10"/>
    </row>
    <row r="1227" spans="1:6" ht="34.5" customHeight="1">
      <c r="A1227" s="9">
        <v>1225</v>
      </c>
      <c r="B1227" s="10" t="str">
        <f>"544920230709220558118464"</f>
        <v>544920230709220558118464</v>
      </c>
      <c r="C1227" s="10" t="s">
        <v>11</v>
      </c>
      <c r="D1227" s="10" t="str">
        <f>"白怡雯"</f>
        <v>白怡雯</v>
      </c>
      <c r="E1227" s="10" t="str">
        <f aca="true" t="shared" si="57" ref="E1227:E1242">"女"</f>
        <v>女</v>
      </c>
      <c r="F1227" s="10"/>
    </row>
    <row r="1228" spans="1:6" ht="34.5" customHeight="1">
      <c r="A1228" s="9">
        <v>1226</v>
      </c>
      <c r="B1228" s="10" t="str">
        <f>"544920230709223406118496"</f>
        <v>544920230709223406118496</v>
      </c>
      <c r="C1228" s="10" t="s">
        <v>11</v>
      </c>
      <c r="D1228" s="10" t="str">
        <f>"沈宪茹"</f>
        <v>沈宪茹</v>
      </c>
      <c r="E1228" s="10" t="str">
        <f t="shared" si="57"/>
        <v>女</v>
      </c>
      <c r="F1228" s="10"/>
    </row>
    <row r="1229" spans="1:6" ht="34.5" customHeight="1">
      <c r="A1229" s="9">
        <v>1227</v>
      </c>
      <c r="B1229" s="10" t="str">
        <f>"544920230709163508118211"</f>
        <v>544920230709163508118211</v>
      </c>
      <c r="C1229" s="10" t="s">
        <v>11</v>
      </c>
      <c r="D1229" s="10" t="str">
        <f>"廖小花"</f>
        <v>廖小花</v>
      </c>
      <c r="E1229" s="10" t="str">
        <f t="shared" si="57"/>
        <v>女</v>
      </c>
      <c r="F1229" s="10"/>
    </row>
    <row r="1230" spans="1:6" ht="34.5" customHeight="1">
      <c r="A1230" s="9">
        <v>1228</v>
      </c>
      <c r="B1230" s="10" t="str">
        <f>"544920230710002615118596"</f>
        <v>544920230710002615118596</v>
      </c>
      <c r="C1230" s="10" t="s">
        <v>11</v>
      </c>
      <c r="D1230" s="10" t="str">
        <f>"符唱莉"</f>
        <v>符唱莉</v>
      </c>
      <c r="E1230" s="10" t="str">
        <f t="shared" si="57"/>
        <v>女</v>
      </c>
      <c r="F1230" s="10"/>
    </row>
    <row r="1231" spans="1:6" ht="34.5" customHeight="1">
      <c r="A1231" s="9">
        <v>1229</v>
      </c>
      <c r="B1231" s="10" t="str">
        <f>"544920230710023449118620"</f>
        <v>544920230710023449118620</v>
      </c>
      <c r="C1231" s="10" t="s">
        <v>11</v>
      </c>
      <c r="D1231" s="10" t="str">
        <f>"吕晓雪"</f>
        <v>吕晓雪</v>
      </c>
      <c r="E1231" s="10" t="str">
        <f t="shared" si="57"/>
        <v>女</v>
      </c>
      <c r="F1231" s="10"/>
    </row>
    <row r="1232" spans="1:6" ht="34.5" customHeight="1">
      <c r="A1232" s="9">
        <v>1230</v>
      </c>
      <c r="B1232" s="10" t="str">
        <f>"544920230704231657103397"</f>
        <v>544920230704231657103397</v>
      </c>
      <c r="C1232" s="10" t="s">
        <v>11</v>
      </c>
      <c r="D1232" s="10" t="str">
        <f>"王彦涛"</f>
        <v>王彦涛</v>
      </c>
      <c r="E1232" s="10" t="str">
        <f t="shared" si="57"/>
        <v>女</v>
      </c>
      <c r="F1232" s="10"/>
    </row>
    <row r="1233" spans="1:6" ht="34.5" customHeight="1">
      <c r="A1233" s="9">
        <v>1231</v>
      </c>
      <c r="B1233" s="10" t="str">
        <f>"544920230709224623118513"</f>
        <v>544920230709224623118513</v>
      </c>
      <c r="C1233" s="10" t="s">
        <v>11</v>
      </c>
      <c r="D1233" s="10" t="str">
        <f>"李发晶"</f>
        <v>李发晶</v>
      </c>
      <c r="E1233" s="10" t="str">
        <f t="shared" si="57"/>
        <v>女</v>
      </c>
      <c r="F1233" s="10"/>
    </row>
    <row r="1234" spans="1:6" ht="34.5" customHeight="1">
      <c r="A1234" s="9">
        <v>1232</v>
      </c>
      <c r="B1234" s="10" t="str">
        <f>"544920230710060725118625"</f>
        <v>544920230710060725118625</v>
      </c>
      <c r="C1234" s="10" t="s">
        <v>11</v>
      </c>
      <c r="D1234" s="10" t="str">
        <f>"胡珊珊"</f>
        <v>胡珊珊</v>
      </c>
      <c r="E1234" s="10" t="str">
        <f t="shared" si="57"/>
        <v>女</v>
      </c>
      <c r="F1234" s="10"/>
    </row>
    <row r="1235" spans="1:6" ht="34.5" customHeight="1">
      <c r="A1235" s="9">
        <v>1233</v>
      </c>
      <c r="B1235" s="10" t="str">
        <f>"544920230710101206118849"</f>
        <v>544920230710101206118849</v>
      </c>
      <c r="C1235" s="10" t="s">
        <v>11</v>
      </c>
      <c r="D1235" s="10" t="str">
        <f>"王梦仪"</f>
        <v>王梦仪</v>
      </c>
      <c r="E1235" s="10" t="str">
        <f t="shared" si="57"/>
        <v>女</v>
      </c>
      <c r="F1235" s="10"/>
    </row>
    <row r="1236" spans="1:6" ht="34.5" customHeight="1">
      <c r="A1236" s="9">
        <v>1234</v>
      </c>
      <c r="B1236" s="10" t="str">
        <f>"544920230710103433118900"</f>
        <v>544920230710103433118900</v>
      </c>
      <c r="C1236" s="10" t="s">
        <v>11</v>
      </c>
      <c r="D1236" s="10" t="str">
        <f>"孙婷婷"</f>
        <v>孙婷婷</v>
      </c>
      <c r="E1236" s="10" t="str">
        <f t="shared" si="57"/>
        <v>女</v>
      </c>
      <c r="F1236" s="10"/>
    </row>
    <row r="1237" spans="1:6" ht="34.5" customHeight="1">
      <c r="A1237" s="9">
        <v>1235</v>
      </c>
      <c r="B1237" s="10" t="str">
        <f>"544920230709234908118571"</f>
        <v>544920230709234908118571</v>
      </c>
      <c r="C1237" s="10" t="s">
        <v>11</v>
      </c>
      <c r="D1237" s="10" t="str">
        <f>"赵荻叶"</f>
        <v>赵荻叶</v>
      </c>
      <c r="E1237" s="10" t="str">
        <f t="shared" si="57"/>
        <v>女</v>
      </c>
      <c r="F1237" s="10"/>
    </row>
    <row r="1238" spans="1:6" ht="34.5" customHeight="1">
      <c r="A1238" s="9">
        <v>1236</v>
      </c>
      <c r="B1238" s="10" t="str">
        <f>"544920230710103137118890"</f>
        <v>544920230710103137118890</v>
      </c>
      <c r="C1238" s="10" t="s">
        <v>11</v>
      </c>
      <c r="D1238" s="10" t="str">
        <f>"郑琳川"</f>
        <v>郑琳川</v>
      </c>
      <c r="E1238" s="10" t="str">
        <f t="shared" si="57"/>
        <v>女</v>
      </c>
      <c r="F1238" s="10"/>
    </row>
    <row r="1239" spans="1:6" ht="34.5" customHeight="1">
      <c r="A1239" s="9">
        <v>1237</v>
      </c>
      <c r="B1239" s="10" t="str">
        <f>"544920230710103600118908"</f>
        <v>544920230710103600118908</v>
      </c>
      <c r="C1239" s="10" t="s">
        <v>11</v>
      </c>
      <c r="D1239" s="10" t="str">
        <f>"李少如"</f>
        <v>李少如</v>
      </c>
      <c r="E1239" s="10" t="str">
        <f t="shared" si="57"/>
        <v>女</v>
      </c>
      <c r="F1239" s="10"/>
    </row>
    <row r="1240" spans="1:6" ht="34.5" customHeight="1">
      <c r="A1240" s="9">
        <v>1238</v>
      </c>
      <c r="B1240" s="10" t="str">
        <f>"54492023070201093592766"</f>
        <v>54492023070201093592766</v>
      </c>
      <c r="C1240" s="10" t="s">
        <v>12</v>
      </c>
      <c r="D1240" s="10" t="str">
        <f>"王欢"</f>
        <v>王欢</v>
      </c>
      <c r="E1240" s="10" t="str">
        <f t="shared" si="57"/>
        <v>女</v>
      </c>
      <c r="F1240" s="10"/>
    </row>
    <row r="1241" spans="1:6" ht="34.5" customHeight="1">
      <c r="A1241" s="9">
        <v>1239</v>
      </c>
      <c r="B1241" s="10" t="str">
        <f>"54492023070210514093249"</f>
        <v>54492023070210514093249</v>
      </c>
      <c r="C1241" s="10" t="s">
        <v>12</v>
      </c>
      <c r="D1241" s="10" t="str">
        <f>"李秋燕"</f>
        <v>李秋燕</v>
      </c>
      <c r="E1241" s="10" t="str">
        <f t="shared" si="57"/>
        <v>女</v>
      </c>
      <c r="F1241" s="10"/>
    </row>
    <row r="1242" spans="1:6" ht="34.5" customHeight="1">
      <c r="A1242" s="9">
        <v>1240</v>
      </c>
      <c r="B1242" s="10" t="str">
        <f>"54492023070211384693373"</f>
        <v>54492023070211384693373</v>
      </c>
      <c r="C1242" s="10" t="s">
        <v>12</v>
      </c>
      <c r="D1242" s="10" t="str">
        <f>"郭华飞"</f>
        <v>郭华飞</v>
      </c>
      <c r="E1242" s="10" t="str">
        <f t="shared" si="57"/>
        <v>女</v>
      </c>
      <c r="F1242" s="10"/>
    </row>
    <row r="1243" spans="1:6" ht="34.5" customHeight="1">
      <c r="A1243" s="9">
        <v>1241</v>
      </c>
      <c r="B1243" s="10" t="str">
        <f>"54492023070212163193469"</f>
        <v>54492023070212163193469</v>
      </c>
      <c r="C1243" s="10" t="s">
        <v>12</v>
      </c>
      <c r="D1243" s="10" t="str">
        <f>"郑博良"</f>
        <v>郑博良</v>
      </c>
      <c r="E1243" s="10" t="str">
        <f>"男"</f>
        <v>男</v>
      </c>
      <c r="F1243" s="10"/>
    </row>
    <row r="1244" spans="1:6" ht="34.5" customHeight="1">
      <c r="A1244" s="9">
        <v>1242</v>
      </c>
      <c r="B1244" s="10" t="str">
        <f>"54492023070213474893693"</f>
        <v>54492023070213474893693</v>
      </c>
      <c r="C1244" s="10" t="s">
        <v>12</v>
      </c>
      <c r="D1244" s="10" t="str">
        <f>"苏小岚"</f>
        <v>苏小岚</v>
      </c>
      <c r="E1244" s="10" t="str">
        <f aca="true" t="shared" si="58" ref="E1244:E1268">"女"</f>
        <v>女</v>
      </c>
      <c r="F1244" s="10"/>
    </row>
    <row r="1245" spans="1:6" ht="34.5" customHeight="1">
      <c r="A1245" s="9">
        <v>1243</v>
      </c>
      <c r="B1245" s="10" t="str">
        <f>"54492023070215531893992"</f>
        <v>54492023070215531893992</v>
      </c>
      <c r="C1245" s="10" t="s">
        <v>12</v>
      </c>
      <c r="D1245" s="10" t="str">
        <f>"陈小凤"</f>
        <v>陈小凤</v>
      </c>
      <c r="E1245" s="10" t="str">
        <f t="shared" si="58"/>
        <v>女</v>
      </c>
      <c r="F1245" s="10"/>
    </row>
    <row r="1246" spans="1:6" ht="34.5" customHeight="1">
      <c r="A1246" s="9">
        <v>1244</v>
      </c>
      <c r="B1246" s="10" t="str">
        <f>"54492023070217495094276"</f>
        <v>54492023070217495094276</v>
      </c>
      <c r="C1246" s="10" t="s">
        <v>12</v>
      </c>
      <c r="D1246" s="10" t="str">
        <f>"吴云"</f>
        <v>吴云</v>
      </c>
      <c r="E1246" s="10" t="str">
        <f t="shared" si="58"/>
        <v>女</v>
      </c>
      <c r="F1246" s="10"/>
    </row>
    <row r="1247" spans="1:6" ht="34.5" customHeight="1">
      <c r="A1247" s="9">
        <v>1245</v>
      </c>
      <c r="B1247" s="10" t="str">
        <f>"54492023070218332794355"</f>
        <v>54492023070218332794355</v>
      </c>
      <c r="C1247" s="10" t="s">
        <v>12</v>
      </c>
      <c r="D1247" s="10" t="str">
        <f>"周活"</f>
        <v>周活</v>
      </c>
      <c r="E1247" s="10" t="str">
        <f t="shared" si="58"/>
        <v>女</v>
      </c>
      <c r="F1247" s="10"/>
    </row>
    <row r="1248" spans="1:6" ht="34.5" customHeight="1">
      <c r="A1248" s="9">
        <v>1246</v>
      </c>
      <c r="B1248" s="10" t="str">
        <f>"54492023070221485994817"</f>
        <v>54492023070221485994817</v>
      </c>
      <c r="C1248" s="10" t="s">
        <v>12</v>
      </c>
      <c r="D1248" s="10" t="str">
        <f>"赵铭婷"</f>
        <v>赵铭婷</v>
      </c>
      <c r="E1248" s="10" t="str">
        <f t="shared" si="58"/>
        <v>女</v>
      </c>
      <c r="F1248" s="10"/>
    </row>
    <row r="1249" spans="1:6" ht="34.5" customHeight="1">
      <c r="A1249" s="9">
        <v>1247</v>
      </c>
      <c r="B1249" s="10" t="str">
        <f>"54492023070222241494921"</f>
        <v>54492023070222241494921</v>
      </c>
      <c r="C1249" s="10" t="s">
        <v>12</v>
      </c>
      <c r="D1249" s="10" t="str">
        <f>"邱馨雨"</f>
        <v>邱馨雨</v>
      </c>
      <c r="E1249" s="10" t="str">
        <f t="shared" si="58"/>
        <v>女</v>
      </c>
      <c r="F1249" s="10"/>
    </row>
    <row r="1250" spans="1:6" ht="34.5" customHeight="1">
      <c r="A1250" s="9">
        <v>1248</v>
      </c>
      <c r="B1250" s="10" t="str">
        <f>"54492023070220595194665"</f>
        <v>54492023070220595194665</v>
      </c>
      <c r="C1250" s="10" t="s">
        <v>12</v>
      </c>
      <c r="D1250" s="10" t="str">
        <f>"周吉桥"</f>
        <v>周吉桥</v>
      </c>
      <c r="E1250" s="10" t="str">
        <f t="shared" si="58"/>
        <v>女</v>
      </c>
      <c r="F1250" s="10"/>
    </row>
    <row r="1251" spans="1:6" ht="34.5" customHeight="1">
      <c r="A1251" s="9">
        <v>1249</v>
      </c>
      <c r="B1251" s="10" t="str">
        <f>"54492023070307520095267"</f>
        <v>54492023070307520095267</v>
      </c>
      <c r="C1251" s="10" t="s">
        <v>12</v>
      </c>
      <c r="D1251" s="10" t="str">
        <f>"金玺"</f>
        <v>金玺</v>
      </c>
      <c r="E1251" s="10" t="str">
        <f t="shared" si="58"/>
        <v>女</v>
      </c>
      <c r="F1251" s="10"/>
    </row>
    <row r="1252" spans="1:6" ht="34.5" customHeight="1">
      <c r="A1252" s="9">
        <v>1250</v>
      </c>
      <c r="B1252" s="10" t="str">
        <f>"54492023070309053995525"</f>
        <v>54492023070309053995525</v>
      </c>
      <c r="C1252" s="10" t="s">
        <v>12</v>
      </c>
      <c r="D1252" s="10" t="str">
        <f>"庞广灵"</f>
        <v>庞广灵</v>
      </c>
      <c r="E1252" s="10" t="str">
        <f t="shared" si="58"/>
        <v>女</v>
      </c>
      <c r="F1252" s="10"/>
    </row>
    <row r="1253" spans="1:6" ht="34.5" customHeight="1">
      <c r="A1253" s="9">
        <v>1251</v>
      </c>
      <c r="B1253" s="10" t="str">
        <f>"54492023070309224595714"</f>
        <v>54492023070309224595714</v>
      </c>
      <c r="C1253" s="10" t="s">
        <v>12</v>
      </c>
      <c r="D1253" s="10" t="str">
        <f>"黎家玲"</f>
        <v>黎家玲</v>
      </c>
      <c r="E1253" s="10" t="str">
        <f t="shared" si="58"/>
        <v>女</v>
      </c>
      <c r="F1253" s="10"/>
    </row>
    <row r="1254" spans="1:6" ht="34.5" customHeight="1">
      <c r="A1254" s="9">
        <v>1252</v>
      </c>
      <c r="B1254" s="10" t="str">
        <f>"54492023070309491695961"</f>
        <v>54492023070309491695961</v>
      </c>
      <c r="C1254" s="10" t="s">
        <v>12</v>
      </c>
      <c r="D1254" s="10" t="str">
        <f>"刘慧英"</f>
        <v>刘慧英</v>
      </c>
      <c r="E1254" s="10" t="str">
        <f t="shared" si="58"/>
        <v>女</v>
      </c>
      <c r="F1254" s="10"/>
    </row>
    <row r="1255" spans="1:6" ht="34.5" customHeight="1">
      <c r="A1255" s="9">
        <v>1253</v>
      </c>
      <c r="B1255" s="10" t="str">
        <f>"54492023070310065096109"</f>
        <v>54492023070310065096109</v>
      </c>
      <c r="C1255" s="10" t="s">
        <v>12</v>
      </c>
      <c r="D1255" s="10" t="str">
        <f>"谢川秋"</f>
        <v>谢川秋</v>
      </c>
      <c r="E1255" s="10" t="str">
        <f t="shared" si="58"/>
        <v>女</v>
      </c>
      <c r="F1255" s="10"/>
    </row>
    <row r="1256" spans="1:6" ht="34.5" customHeight="1">
      <c r="A1256" s="9">
        <v>1254</v>
      </c>
      <c r="B1256" s="10" t="str">
        <f>"54492023070309591096057"</f>
        <v>54492023070309591096057</v>
      </c>
      <c r="C1256" s="10" t="s">
        <v>12</v>
      </c>
      <c r="D1256" s="10" t="str">
        <f>"高佩玲"</f>
        <v>高佩玲</v>
      </c>
      <c r="E1256" s="10" t="str">
        <f t="shared" si="58"/>
        <v>女</v>
      </c>
      <c r="F1256" s="10"/>
    </row>
    <row r="1257" spans="1:6" ht="34.5" customHeight="1">
      <c r="A1257" s="9">
        <v>1255</v>
      </c>
      <c r="B1257" s="10" t="str">
        <f>"54492023070312140296963"</f>
        <v>54492023070312140296963</v>
      </c>
      <c r="C1257" s="10" t="s">
        <v>12</v>
      </c>
      <c r="D1257" s="10" t="str">
        <f>"陈青霞"</f>
        <v>陈青霞</v>
      </c>
      <c r="E1257" s="10" t="str">
        <f t="shared" si="58"/>
        <v>女</v>
      </c>
      <c r="F1257" s="10"/>
    </row>
    <row r="1258" spans="1:6" ht="34.5" customHeight="1">
      <c r="A1258" s="9">
        <v>1256</v>
      </c>
      <c r="B1258" s="10" t="str">
        <f>"54492023070312300597067"</f>
        <v>54492023070312300597067</v>
      </c>
      <c r="C1258" s="10" t="s">
        <v>12</v>
      </c>
      <c r="D1258" s="10" t="str">
        <f>"苏娜"</f>
        <v>苏娜</v>
      </c>
      <c r="E1258" s="10" t="str">
        <f t="shared" si="58"/>
        <v>女</v>
      </c>
      <c r="F1258" s="10"/>
    </row>
    <row r="1259" spans="1:6" ht="34.5" customHeight="1">
      <c r="A1259" s="9">
        <v>1257</v>
      </c>
      <c r="B1259" s="10" t="str">
        <f>"54492023070312164496979"</f>
        <v>54492023070312164496979</v>
      </c>
      <c r="C1259" s="10" t="s">
        <v>12</v>
      </c>
      <c r="D1259" s="10" t="str">
        <f>"古裕焕"</f>
        <v>古裕焕</v>
      </c>
      <c r="E1259" s="10" t="str">
        <f t="shared" si="58"/>
        <v>女</v>
      </c>
      <c r="F1259" s="10"/>
    </row>
    <row r="1260" spans="1:6" ht="34.5" customHeight="1">
      <c r="A1260" s="9">
        <v>1258</v>
      </c>
      <c r="B1260" s="10" t="str">
        <f>"54492023070313012097258"</f>
        <v>54492023070313012097258</v>
      </c>
      <c r="C1260" s="10" t="s">
        <v>12</v>
      </c>
      <c r="D1260" s="10" t="str">
        <f>"林文青"</f>
        <v>林文青</v>
      </c>
      <c r="E1260" s="10" t="str">
        <f t="shared" si="58"/>
        <v>女</v>
      </c>
      <c r="F1260" s="10"/>
    </row>
    <row r="1261" spans="1:6" ht="34.5" customHeight="1">
      <c r="A1261" s="9">
        <v>1259</v>
      </c>
      <c r="B1261" s="10" t="str">
        <f>"54492023070314173497566"</f>
        <v>54492023070314173497566</v>
      </c>
      <c r="C1261" s="10" t="s">
        <v>12</v>
      </c>
      <c r="D1261" s="10" t="str">
        <f>"黄怡芹"</f>
        <v>黄怡芹</v>
      </c>
      <c r="E1261" s="10" t="str">
        <f t="shared" si="58"/>
        <v>女</v>
      </c>
      <c r="F1261" s="10"/>
    </row>
    <row r="1262" spans="1:6" ht="34.5" customHeight="1">
      <c r="A1262" s="9">
        <v>1260</v>
      </c>
      <c r="B1262" s="10" t="str">
        <f>"54492023070216382694110"</f>
        <v>54492023070216382694110</v>
      </c>
      <c r="C1262" s="10" t="s">
        <v>12</v>
      </c>
      <c r="D1262" s="10" t="str">
        <f>"吴晓娟"</f>
        <v>吴晓娟</v>
      </c>
      <c r="E1262" s="10" t="str">
        <f t="shared" si="58"/>
        <v>女</v>
      </c>
      <c r="F1262" s="10"/>
    </row>
    <row r="1263" spans="1:6" ht="34.5" customHeight="1">
      <c r="A1263" s="9">
        <v>1261</v>
      </c>
      <c r="B1263" s="10" t="str">
        <f>"54492023070315020497800"</f>
        <v>54492023070315020497800</v>
      </c>
      <c r="C1263" s="10" t="s">
        <v>12</v>
      </c>
      <c r="D1263" s="10" t="str">
        <f>"林晓月"</f>
        <v>林晓月</v>
      </c>
      <c r="E1263" s="10" t="str">
        <f t="shared" si="58"/>
        <v>女</v>
      </c>
      <c r="F1263" s="10"/>
    </row>
    <row r="1264" spans="1:6" ht="34.5" customHeight="1">
      <c r="A1264" s="9">
        <v>1262</v>
      </c>
      <c r="B1264" s="10" t="str">
        <f>"54492023070313070397301"</f>
        <v>54492023070313070397301</v>
      </c>
      <c r="C1264" s="10" t="s">
        <v>12</v>
      </c>
      <c r="D1264" s="10" t="str">
        <f>" 董考"</f>
        <v> 董考</v>
      </c>
      <c r="E1264" s="10" t="str">
        <f t="shared" si="58"/>
        <v>女</v>
      </c>
      <c r="F1264" s="10"/>
    </row>
    <row r="1265" spans="1:6" ht="34.5" customHeight="1">
      <c r="A1265" s="9">
        <v>1263</v>
      </c>
      <c r="B1265" s="10" t="str">
        <f>"54492023070316593898521"</f>
        <v>54492023070316593898521</v>
      </c>
      <c r="C1265" s="10" t="s">
        <v>12</v>
      </c>
      <c r="D1265" s="10" t="str">
        <f>"鲁媛"</f>
        <v>鲁媛</v>
      </c>
      <c r="E1265" s="10" t="str">
        <f t="shared" si="58"/>
        <v>女</v>
      </c>
      <c r="F1265" s="10"/>
    </row>
    <row r="1266" spans="1:6" ht="34.5" customHeight="1">
      <c r="A1266" s="9">
        <v>1264</v>
      </c>
      <c r="B1266" s="10" t="str">
        <f>"54492023070215243893919"</f>
        <v>54492023070215243893919</v>
      </c>
      <c r="C1266" s="10" t="s">
        <v>12</v>
      </c>
      <c r="D1266" s="10" t="str">
        <f>"王秀媚"</f>
        <v>王秀媚</v>
      </c>
      <c r="E1266" s="10" t="str">
        <f t="shared" si="58"/>
        <v>女</v>
      </c>
      <c r="F1266" s="10"/>
    </row>
    <row r="1267" spans="1:6" ht="34.5" customHeight="1">
      <c r="A1267" s="9">
        <v>1265</v>
      </c>
      <c r="B1267" s="10" t="str">
        <f>"54492023070318330798918"</f>
        <v>54492023070318330798918</v>
      </c>
      <c r="C1267" s="10" t="s">
        <v>12</v>
      </c>
      <c r="D1267" s="10" t="str">
        <f>"符冬婷"</f>
        <v>符冬婷</v>
      </c>
      <c r="E1267" s="10" t="str">
        <f t="shared" si="58"/>
        <v>女</v>
      </c>
      <c r="F1267" s="10"/>
    </row>
    <row r="1268" spans="1:6" ht="34.5" customHeight="1">
      <c r="A1268" s="9">
        <v>1266</v>
      </c>
      <c r="B1268" s="10" t="str">
        <f>"54492023070319025499019"</f>
        <v>54492023070319025499019</v>
      </c>
      <c r="C1268" s="10" t="s">
        <v>12</v>
      </c>
      <c r="D1268" s="10" t="str">
        <f>"杨中妹"</f>
        <v>杨中妹</v>
      </c>
      <c r="E1268" s="10" t="str">
        <f t="shared" si="58"/>
        <v>女</v>
      </c>
      <c r="F1268" s="10"/>
    </row>
    <row r="1269" spans="1:6" ht="34.5" customHeight="1">
      <c r="A1269" s="9">
        <v>1267</v>
      </c>
      <c r="B1269" s="10" t="str">
        <f>"54492023070321241799658"</f>
        <v>54492023070321241799658</v>
      </c>
      <c r="C1269" s="10" t="s">
        <v>12</v>
      </c>
      <c r="D1269" s="10" t="str">
        <f>"甘运来"</f>
        <v>甘运来</v>
      </c>
      <c r="E1269" s="10" t="str">
        <f>"男"</f>
        <v>男</v>
      </c>
      <c r="F1269" s="10"/>
    </row>
    <row r="1270" spans="1:6" ht="34.5" customHeight="1">
      <c r="A1270" s="9">
        <v>1268</v>
      </c>
      <c r="B1270" s="10" t="str">
        <f>"54492023070321304099694"</f>
        <v>54492023070321304099694</v>
      </c>
      <c r="C1270" s="10" t="s">
        <v>12</v>
      </c>
      <c r="D1270" s="10" t="str">
        <f>"王景荟"</f>
        <v>王景荟</v>
      </c>
      <c r="E1270" s="10" t="str">
        <f>"女"</f>
        <v>女</v>
      </c>
      <c r="F1270" s="10"/>
    </row>
    <row r="1271" spans="1:6" ht="34.5" customHeight="1">
      <c r="A1271" s="9">
        <v>1269</v>
      </c>
      <c r="B1271" s="10" t="str">
        <f>"54492023070321563099819"</f>
        <v>54492023070321563099819</v>
      </c>
      <c r="C1271" s="10" t="s">
        <v>12</v>
      </c>
      <c r="D1271" s="10" t="str">
        <f>"高能英"</f>
        <v>高能英</v>
      </c>
      <c r="E1271" s="10" t="str">
        <f>"女"</f>
        <v>女</v>
      </c>
      <c r="F1271" s="10"/>
    </row>
    <row r="1272" spans="1:6" ht="34.5" customHeight="1">
      <c r="A1272" s="9">
        <v>1270</v>
      </c>
      <c r="B1272" s="10" t="str">
        <f>"54492023070322232299954"</f>
        <v>54492023070322232299954</v>
      </c>
      <c r="C1272" s="10" t="s">
        <v>12</v>
      </c>
      <c r="D1272" s="10" t="str">
        <f>"苏小妹"</f>
        <v>苏小妹</v>
      </c>
      <c r="E1272" s="10" t="str">
        <f>"女"</f>
        <v>女</v>
      </c>
      <c r="F1272" s="10"/>
    </row>
    <row r="1273" spans="1:6" ht="34.5" customHeight="1">
      <c r="A1273" s="9">
        <v>1271</v>
      </c>
      <c r="B1273" s="10" t="str">
        <f>"544920230704000215100285"</f>
        <v>544920230704000215100285</v>
      </c>
      <c r="C1273" s="10" t="s">
        <v>12</v>
      </c>
      <c r="D1273" s="10" t="str">
        <f>"邓颖"</f>
        <v>邓颖</v>
      </c>
      <c r="E1273" s="10" t="str">
        <f>"女"</f>
        <v>女</v>
      </c>
      <c r="F1273" s="10"/>
    </row>
    <row r="1274" spans="1:6" ht="34.5" customHeight="1">
      <c r="A1274" s="9">
        <v>1272</v>
      </c>
      <c r="B1274" s="10" t="str">
        <f>"544920230704014835100395"</f>
        <v>544920230704014835100395</v>
      </c>
      <c r="C1274" s="10" t="s">
        <v>12</v>
      </c>
      <c r="D1274" s="10" t="str">
        <f>"高德发"</f>
        <v>高德发</v>
      </c>
      <c r="E1274" s="10" t="str">
        <f>"男"</f>
        <v>男</v>
      </c>
      <c r="F1274" s="10"/>
    </row>
    <row r="1275" spans="1:6" ht="34.5" customHeight="1">
      <c r="A1275" s="9">
        <v>1273</v>
      </c>
      <c r="B1275" s="10" t="str">
        <f>"544920230704082122100560"</f>
        <v>544920230704082122100560</v>
      </c>
      <c r="C1275" s="10" t="s">
        <v>12</v>
      </c>
      <c r="D1275" s="10" t="str">
        <f>"薛琳珊"</f>
        <v>薛琳珊</v>
      </c>
      <c r="E1275" s="10" t="str">
        <f aca="true" t="shared" si="59" ref="E1275:E1291">"女"</f>
        <v>女</v>
      </c>
      <c r="F1275" s="10"/>
    </row>
    <row r="1276" spans="1:6" ht="34.5" customHeight="1">
      <c r="A1276" s="9">
        <v>1274</v>
      </c>
      <c r="B1276" s="10" t="str">
        <f>"544920230704080306100509"</f>
        <v>544920230704080306100509</v>
      </c>
      <c r="C1276" s="10" t="s">
        <v>12</v>
      </c>
      <c r="D1276" s="10" t="str">
        <f>"兰燕茜"</f>
        <v>兰燕茜</v>
      </c>
      <c r="E1276" s="10" t="str">
        <f t="shared" si="59"/>
        <v>女</v>
      </c>
      <c r="F1276" s="10"/>
    </row>
    <row r="1277" spans="1:6" ht="34.5" customHeight="1">
      <c r="A1277" s="9">
        <v>1275</v>
      </c>
      <c r="B1277" s="10" t="str">
        <f>"544920230704120742101618"</f>
        <v>544920230704120742101618</v>
      </c>
      <c r="C1277" s="10" t="s">
        <v>12</v>
      </c>
      <c r="D1277" s="10" t="str">
        <f>"吴娟爱"</f>
        <v>吴娟爱</v>
      </c>
      <c r="E1277" s="10" t="str">
        <f t="shared" si="59"/>
        <v>女</v>
      </c>
      <c r="F1277" s="10"/>
    </row>
    <row r="1278" spans="1:6" ht="34.5" customHeight="1">
      <c r="A1278" s="9">
        <v>1276</v>
      </c>
      <c r="B1278" s="10" t="str">
        <f>"544920230704140247101888"</f>
        <v>544920230704140247101888</v>
      </c>
      <c r="C1278" s="10" t="s">
        <v>12</v>
      </c>
      <c r="D1278" s="10" t="str">
        <f>"黄民姣"</f>
        <v>黄民姣</v>
      </c>
      <c r="E1278" s="10" t="str">
        <f t="shared" si="59"/>
        <v>女</v>
      </c>
      <c r="F1278" s="10"/>
    </row>
    <row r="1279" spans="1:6" ht="34.5" customHeight="1">
      <c r="A1279" s="9">
        <v>1277</v>
      </c>
      <c r="B1279" s="10" t="str">
        <f>"544920230704154633102199"</f>
        <v>544920230704154633102199</v>
      </c>
      <c r="C1279" s="10" t="s">
        <v>12</v>
      </c>
      <c r="D1279" s="10" t="str">
        <f>"黄虹"</f>
        <v>黄虹</v>
      </c>
      <c r="E1279" s="10" t="str">
        <f t="shared" si="59"/>
        <v>女</v>
      </c>
      <c r="F1279" s="10"/>
    </row>
    <row r="1280" spans="1:6" ht="34.5" customHeight="1">
      <c r="A1280" s="9">
        <v>1278</v>
      </c>
      <c r="B1280" s="10" t="str">
        <f>"544920230704151359102094"</f>
        <v>544920230704151359102094</v>
      </c>
      <c r="C1280" s="10" t="s">
        <v>12</v>
      </c>
      <c r="D1280" s="10" t="str">
        <f>"罗敏"</f>
        <v>罗敏</v>
      </c>
      <c r="E1280" s="10" t="str">
        <f t="shared" si="59"/>
        <v>女</v>
      </c>
      <c r="F1280" s="10"/>
    </row>
    <row r="1281" spans="1:6" ht="34.5" customHeight="1">
      <c r="A1281" s="9">
        <v>1279</v>
      </c>
      <c r="B1281" s="10" t="str">
        <f>"544920230704165052102410"</f>
        <v>544920230704165052102410</v>
      </c>
      <c r="C1281" s="10" t="s">
        <v>12</v>
      </c>
      <c r="D1281" s="10" t="str">
        <f>"许文雅"</f>
        <v>许文雅</v>
      </c>
      <c r="E1281" s="10" t="str">
        <f t="shared" si="59"/>
        <v>女</v>
      </c>
      <c r="F1281" s="10"/>
    </row>
    <row r="1282" spans="1:6" ht="34.5" customHeight="1">
      <c r="A1282" s="9">
        <v>1280</v>
      </c>
      <c r="B1282" s="10" t="str">
        <f>"54492023070316310098343"</f>
        <v>54492023070316310098343</v>
      </c>
      <c r="C1282" s="10" t="s">
        <v>12</v>
      </c>
      <c r="D1282" s="10" t="str">
        <f>"李文琪"</f>
        <v>李文琪</v>
      </c>
      <c r="E1282" s="10" t="str">
        <f t="shared" si="59"/>
        <v>女</v>
      </c>
      <c r="F1282" s="10"/>
    </row>
    <row r="1283" spans="1:6" ht="34.5" customHeight="1">
      <c r="A1283" s="9">
        <v>1281</v>
      </c>
      <c r="B1283" s="10" t="str">
        <f>"54492023070316563498505"</f>
        <v>54492023070316563498505</v>
      </c>
      <c r="C1283" s="10" t="s">
        <v>12</v>
      </c>
      <c r="D1283" s="10" t="str">
        <f>"黄梦紫"</f>
        <v>黄梦紫</v>
      </c>
      <c r="E1283" s="10" t="str">
        <f t="shared" si="59"/>
        <v>女</v>
      </c>
      <c r="F1283" s="10"/>
    </row>
    <row r="1284" spans="1:6" ht="34.5" customHeight="1">
      <c r="A1284" s="9">
        <v>1282</v>
      </c>
      <c r="B1284" s="10" t="str">
        <f>"544920230704172717102538"</f>
        <v>544920230704172717102538</v>
      </c>
      <c r="C1284" s="10" t="s">
        <v>12</v>
      </c>
      <c r="D1284" s="10" t="str">
        <f>"邢玉莹"</f>
        <v>邢玉莹</v>
      </c>
      <c r="E1284" s="10" t="str">
        <f t="shared" si="59"/>
        <v>女</v>
      </c>
      <c r="F1284" s="10"/>
    </row>
    <row r="1285" spans="1:6" ht="34.5" customHeight="1">
      <c r="A1285" s="9">
        <v>1283</v>
      </c>
      <c r="B1285" s="10" t="str">
        <f>"544920230704185119102753"</f>
        <v>544920230704185119102753</v>
      </c>
      <c r="C1285" s="10" t="s">
        <v>12</v>
      </c>
      <c r="D1285" s="10" t="str">
        <f>"黎小雯"</f>
        <v>黎小雯</v>
      </c>
      <c r="E1285" s="10" t="str">
        <f t="shared" si="59"/>
        <v>女</v>
      </c>
      <c r="F1285" s="10"/>
    </row>
    <row r="1286" spans="1:6" ht="34.5" customHeight="1">
      <c r="A1286" s="9">
        <v>1284</v>
      </c>
      <c r="B1286" s="10" t="str">
        <f>"544920230704211122103077"</f>
        <v>544920230704211122103077</v>
      </c>
      <c r="C1286" s="10" t="s">
        <v>12</v>
      </c>
      <c r="D1286" s="10" t="str">
        <f>"羊娥萱"</f>
        <v>羊娥萱</v>
      </c>
      <c r="E1286" s="10" t="str">
        <f t="shared" si="59"/>
        <v>女</v>
      </c>
      <c r="F1286" s="10"/>
    </row>
    <row r="1287" spans="1:6" ht="34.5" customHeight="1">
      <c r="A1287" s="9">
        <v>1285</v>
      </c>
      <c r="B1287" s="10" t="str">
        <f>"544920230704210639103067"</f>
        <v>544920230704210639103067</v>
      </c>
      <c r="C1287" s="10" t="s">
        <v>12</v>
      </c>
      <c r="D1287" s="10" t="str">
        <f>"马丽少"</f>
        <v>马丽少</v>
      </c>
      <c r="E1287" s="10" t="str">
        <f t="shared" si="59"/>
        <v>女</v>
      </c>
      <c r="F1287" s="10"/>
    </row>
    <row r="1288" spans="1:6" ht="34.5" customHeight="1">
      <c r="A1288" s="9">
        <v>1286</v>
      </c>
      <c r="B1288" s="10" t="str">
        <f>"544920230705012800103541"</f>
        <v>544920230705012800103541</v>
      </c>
      <c r="C1288" s="10" t="s">
        <v>12</v>
      </c>
      <c r="D1288" s="10" t="str">
        <f>"颜秀萍"</f>
        <v>颜秀萍</v>
      </c>
      <c r="E1288" s="10" t="str">
        <f t="shared" si="59"/>
        <v>女</v>
      </c>
      <c r="F1288" s="10"/>
    </row>
    <row r="1289" spans="1:6" ht="34.5" customHeight="1">
      <c r="A1289" s="9">
        <v>1287</v>
      </c>
      <c r="B1289" s="10" t="str">
        <f>"544920230704180930102643"</f>
        <v>544920230704180930102643</v>
      </c>
      <c r="C1289" s="10" t="s">
        <v>12</v>
      </c>
      <c r="D1289" s="10" t="str">
        <f>"王柔"</f>
        <v>王柔</v>
      </c>
      <c r="E1289" s="10" t="str">
        <f t="shared" si="59"/>
        <v>女</v>
      </c>
      <c r="F1289" s="10"/>
    </row>
    <row r="1290" spans="1:6" ht="34.5" customHeight="1">
      <c r="A1290" s="9">
        <v>1288</v>
      </c>
      <c r="B1290" s="10" t="str">
        <f>"544920230705095223103975"</f>
        <v>544920230705095223103975</v>
      </c>
      <c r="C1290" s="10" t="s">
        <v>12</v>
      </c>
      <c r="D1290" s="10" t="str">
        <f>"羊丽英"</f>
        <v>羊丽英</v>
      </c>
      <c r="E1290" s="10" t="str">
        <f t="shared" si="59"/>
        <v>女</v>
      </c>
      <c r="F1290" s="10"/>
    </row>
    <row r="1291" spans="1:6" ht="34.5" customHeight="1">
      <c r="A1291" s="9">
        <v>1289</v>
      </c>
      <c r="B1291" s="10" t="str">
        <f>"544920230704154812102208"</f>
        <v>544920230704154812102208</v>
      </c>
      <c r="C1291" s="10" t="s">
        <v>12</v>
      </c>
      <c r="D1291" s="10" t="str">
        <f>"李沙沙"</f>
        <v>李沙沙</v>
      </c>
      <c r="E1291" s="10" t="str">
        <f t="shared" si="59"/>
        <v>女</v>
      </c>
      <c r="F1291" s="10"/>
    </row>
    <row r="1292" spans="1:6" ht="34.5" customHeight="1">
      <c r="A1292" s="9">
        <v>1290</v>
      </c>
      <c r="B1292" s="10" t="str">
        <f>"54492023070307175995234"</f>
        <v>54492023070307175995234</v>
      </c>
      <c r="C1292" s="10" t="s">
        <v>12</v>
      </c>
      <c r="D1292" s="10" t="str">
        <f>"王优"</f>
        <v>王优</v>
      </c>
      <c r="E1292" s="10" t="str">
        <f>"男"</f>
        <v>男</v>
      </c>
      <c r="F1292" s="10"/>
    </row>
    <row r="1293" spans="1:6" ht="34.5" customHeight="1">
      <c r="A1293" s="9">
        <v>1291</v>
      </c>
      <c r="B1293" s="10" t="str">
        <f>"544920230705102318104112"</f>
        <v>544920230705102318104112</v>
      </c>
      <c r="C1293" s="10" t="s">
        <v>12</v>
      </c>
      <c r="D1293" s="10" t="str">
        <f>"向舒琪"</f>
        <v>向舒琪</v>
      </c>
      <c r="E1293" s="10" t="str">
        <f>"女"</f>
        <v>女</v>
      </c>
      <c r="F1293" s="10"/>
    </row>
    <row r="1294" spans="1:6" ht="34.5" customHeight="1">
      <c r="A1294" s="9">
        <v>1292</v>
      </c>
      <c r="B1294" s="10" t="str">
        <f>"544920230704103046101157"</f>
        <v>544920230704103046101157</v>
      </c>
      <c r="C1294" s="10" t="s">
        <v>12</v>
      </c>
      <c r="D1294" s="10" t="str">
        <f>"吴春蕊"</f>
        <v>吴春蕊</v>
      </c>
      <c r="E1294" s="10" t="str">
        <f>"女"</f>
        <v>女</v>
      </c>
      <c r="F1294" s="10"/>
    </row>
    <row r="1295" spans="1:6" ht="34.5" customHeight="1">
      <c r="A1295" s="9">
        <v>1293</v>
      </c>
      <c r="B1295" s="10" t="str">
        <f>"544920230704231538103395"</f>
        <v>544920230704231538103395</v>
      </c>
      <c r="C1295" s="10" t="s">
        <v>12</v>
      </c>
      <c r="D1295" s="10" t="str">
        <f>"叶秋余"</f>
        <v>叶秋余</v>
      </c>
      <c r="E1295" s="10" t="str">
        <f>"女"</f>
        <v>女</v>
      </c>
      <c r="F1295" s="10"/>
    </row>
    <row r="1296" spans="1:6" ht="34.5" customHeight="1">
      <c r="A1296" s="9">
        <v>1294</v>
      </c>
      <c r="B1296" s="10" t="str">
        <f>"544920230705152059104930"</f>
        <v>544920230705152059104930</v>
      </c>
      <c r="C1296" s="10" t="s">
        <v>12</v>
      </c>
      <c r="D1296" s="10" t="str">
        <f>"王家昌"</f>
        <v>王家昌</v>
      </c>
      <c r="E1296" s="10" t="str">
        <f>"男"</f>
        <v>男</v>
      </c>
      <c r="F1296" s="10"/>
    </row>
    <row r="1297" spans="1:6" ht="34.5" customHeight="1">
      <c r="A1297" s="9">
        <v>1295</v>
      </c>
      <c r="B1297" s="10" t="str">
        <f>"544920230705164409105180"</f>
        <v>544920230705164409105180</v>
      </c>
      <c r="C1297" s="10" t="s">
        <v>12</v>
      </c>
      <c r="D1297" s="10" t="str">
        <f>"文章铭"</f>
        <v>文章铭</v>
      </c>
      <c r="E1297" s="10" t="str">
        <f>"女"</f>
        <v>女</v>
      </c>
      <c r="F1297" s="10"/>
    </row>
    <row r="1298" spans="1:6" ht="34.5" customHeight="1">
      <c r="A1298" s="9">
        <v>1296</v>
      </c>
      <c r="B1298" s="10" t="str">
        <f>"544920230705164449105183"</f>
        <v>544920230705164449105183</v>
      </c>
      <c r="C1298" s="10" t="s">
        <v>12</v>
      </c>
      <c r="D1298" s="10" t="str">
        <f>"符史茹"</f>
        <v>符史茹</v>
      </c>
      <c r="E1298" s="10" t="str">
        <f>"女"</f>
        <v>女</v>
      </c>
      <c r="F1298" s="10"/>
    </row>
    <row r="1299" spans="1:6" ht="34.5" customHeight="1">
      <c r="A1299" s="9">
        <v>1297</v>
      </c>
      <c r="B1299" s="10" t="str">
        <f>"544920230705183156105349"</f>
        <v>544920230705183156105349</v>
      </c>
      <c r="C1299" s="10" t="s">
        <v>12</v>
      </c>
      <c r="D1299" s="10" t="str">
        <f>"黎世莹"</f>
        <v>黎世莹</v>
      </c>
      <c r="E1299" s="10" t="str">
        <f>"女"</f>
        <v>女</v>
      </c>
      <c r="F1299" s="10"/>
    </row>
    <row r="1300" spans="1:6" ht="34.5" customHeight="1">
      <c r="A1300" s="9">
        <v>1298</v>
      </c>
      <c r="B1300" s="10" t="str">
        <f>"544920230705191326105395"</f>
        <v>544920230705191326105395</v>
      </c>
      <c r="C1300" s="10" t="s">
        <v>12</v>
      </c>
      <c r="D1300" s="10" t="str">
        <f>"董珍妹"</f>
        <v>董珍妹</v>
      </c>
      <c r="E1300" s="10" t="str">
        <f>"女"</f>
        <v>女</v>
      </c>
      <c r="F1300" s="10"/>
    </row>
    <row r="1301" spans="1:6" ht="34.5" customHeight="1">
      <c r="A1301" s="9">
        <v>1299</v>
      </c>
      <c r="B1301" s="10" t="str">
        <f>"544920230705203028105507"</f>
        <v>544920230705203028105507</v>
      </c>
      <c r="C1301" s="10" t="s">
        <v>12</v>
      </c>
      <c r="D1301" s="10" t="str">
        <f>"张英文"</f>
        <v>张英文</v>
      </c>
      <c r="E1301" s="10" t="str">
        <f>"男"</f>
        <v>男</v>
      </c>
      <c r="F1301" s="10"/>
    </row>
    <row r="1302" spans="1:6" ht="34.5" customHeight="1">
      <c r="A1302" s="9">
        <v>1300</v>
      </c>
      <c r="B1302" s="10" t="str">
        <f>"544920230705220405105677"</f>
        <v>544920230705220405105677</v>
      </c>
      <c r="C1302" s="10" t="s">
        <v>12</v>
      </c>
      <c r="D1302" s="10" t="str">
        <f>"冯嫣"</f>
        <v>冯嫣</v>
      </c>
      <c r="E1302" s="10" t="str">
        <f aca="true" t="shared" si="60" ref="E1302:E1314">"女"</f>
        <v>女</v>
      </c>
      <c r="F1302" s="10"/>
    </row>
    <row r="1303" spans="1:6" ht="34.5" customHeight="1">
      <c r="A1303" s="9">
        <v>1301</v>
      </c>
      <c r="B1303" s="10" t="str">
        <f>"544920230705231329105790"</f>
        <v>544920230705231329105790</v>
      </c>
      <c r="C1303" s="10" t="s">
        <v>12</v>
      </c>
      <c r="D1303" s="10" t="str">
        <f>"李选娜"</f>
        <v>李选娜</v>
      </c>
      <c r="E1303" s="10" t="str">
        <f t="shared" si="60"/>
        <v>女</v>
      </c>
      <c r="F1303" s="10"/>
    </row>
    <row r="1304" spans="1:6" ht="34.5" customHeight="1">
      <c r="A1304" s="9">
        <v>1302</v>
      </c>
      <c r="B1304" s="10" t="str">
        <f>"54492023070310082396122"</f>
        <v>54492023070310082396122</v>
      </c>
      <c r="C1304" s="10" t="s">
        <v>12</v>
      </c>
      <c r="D1304" s="10" t="str">
        <f>"麦名蕴"</f>
        <v>麦名蕴</v>
      </c>
      <c r="E1304" s="10" t="str">
        <f t="shared" si="60"/>
        <v>女</v>
      </c>
      <c r="F1304" s="10"/>
    </row>
    <row r="1305" spans="1:6" ht="34.5" customHeight="1">
      <c r="A1305" s="9">
        <v>1303</v>
      </c>
      <c r="B1305" s="10" t="str">
        <f>"544920230706152431109192"</f>
        <v>544920230706152431109192</v>
      </c>
      <c r="C1305" s="10" t="s">
        <v>12</v>
      </c>
      <c r="D1305" s="10" t="str">
        <f>"符金飞"</f>
        <v>符金飞</v>
      </c>
      <c r="E1305" s="10" t="str">
        <f t="shared" si="60"/>
        <v>女</v>
      </c>
      <c r="F1305" s="10"/>
    </row>
    <row r="1306" spans="1:6" ht="34.5" customHeight="1">
      <c r="A1306" s="9">
        <v>1304</v>
      </c>
      <c r="B1306" s="10" t="str">
        <f>"544920230706131145108428"</f>
        <v>544920230706131145108428</v>
      </c>
      <c r="C1306" s="10" t="s">
        <v>12</v>
      </c>
      <c r="D1306" s="10" t="str">
        <f>"冯悦"</f>
        <v>冯悦</v>
      </c>
      <c r="E1306" s="10" t="str">
        <f t="shared" si="60"/>
        <v>女</v>
      </c>
      <c r="F1306" s="10"/>
    </row>
    <row r="1307" spans="1:6" ht="34.5" customHeight="1">
      <c r="A1307" s="9">
        <v>1305</v>
      </c>
      <c r="B1307" s="10" t="str">
        <f>"544920230706161806109574"</f>
        <v>544920230706161806109574</v>
      </c>
      <c r="C1307" s="10" t="s">
        <v>12</v>
      </c>
      <c r="D1307" s="10" t="str">
        <f>"李海艳"</f>
        <v>李海艳</v>
      </c>
      <c r="E1307" s="10" t="str">
        <f t="shared" si="60"/>
        <v>女</v>
      </c>
      <c r="F1307" s="10"/>
    </row>
    <row r="1308" spans="1:6" ht="34.5" customHeight="1">
      <c r="A1308" s="9">
        <v>1306</v>
      </c>
      <c r="B1308" s="10" t="str">
        <f>"544920230706183701110309"</f>
        <v>544920230706183701110309</v>
      </c>
      <c r="C1308" s="10" t="s">
        <v>12</v>
      </c>
      <c r="D1308" s="10" t="str">
        <f>"王玉妃"</f>
        <v>王玉妃</v>
      </c>
      <c r="E1308" s="10" t="str">
        <f t="shared" si="60"/>
        <v>女</v>
      </c>
      <c r="F1308" s="10"/>
    </row>
    <row r="1309" spans="1:6" ht="34.5" customHeight="1">
      <c r="A1309" s="9">
        <v>1307</v>
      </c>
      <c r="B1309" s="10" t="str">
        <f>"544920230706203651110727"</f>
        <v>544920230706203651110727</v>
      </c>
      <c r="C1309" s="10" t="s">
        <v>12</v>
      </c>
      <c r="D1309" s="10" t="str">
        <f>"吴带秀"</f>
        <v>吴带秀</v>
      </c>
      <c r="E1309" s="10" t="str">
        <f t="shared" si="60"/>
        <v>女</v>
      </c>
      <c r="F1309" s="10"/>
    </row>
    <row r="1310" spans="1:6" ht="34.5" customHeight="1">
      <c r="A1310" s="9">
        <v>1308</v>
      </c>
      <c r="B1310" s="10" t="str">
        <f>"544920230706215446111071"</f>
        <v>544920230706215446111071</v>
      </c>
      <c r="C1310" s="10" t="s">
        <v>12</v>
      </c>
      <c r="D1310" s="10" t="str">
        <f>"吕子书"</f>
        <v>吕子书</v>
      </c>
      <c r="E1310" s="10" t="str">
        <f t="shared" si="60"/>
        <v>女</v>
      </c>
      <c r="F1310" s="10"/>
    </row>
    <row r="1311" spans="1:6" ht="34.5" customHeight="1">
      <c r="A1311" s="9">
        <v>1309</v>
      </c>
      <c r="B1311" s="10" t="str">
        <f>"544920230706222328111186"</f>
        <v>544920230706222328111186</v>
      </c>
      <c r="C1311" s="10" t="s">
        <v>12</v>
      </c>
      <c r="D1311" s="10" t="str">
        <f>"林海宁"</f>
        <v>林海宁</v>
      </c>
      <c r="E1311" s="10" t="str">
        <f t="shared" si="60"/>
        <v>女</v>
      </c>
      <c r="F1311" s="10"/>
    </row>
    <row r="1312" spans="1:6" ht="34.5" customHeight="1">
      <c r="A1312" s="9">
        <v>1310</v>
      </c>
      <c r="B1312" s="10" t="str">
        <f>"544920230707013803111499"</f>
        <v>544920230707013803111499</v>
      </c>
      <c r="C1312" s="10" t="s">
        <v>12</v>
      </c>
      <c r="D1312" s="10" t="str">
        <f>"李菲"</f>
        <v>李菲</v>
      </c>
      <c r="E1312" s="10" t="str">
        <f t="shared" si="60"/>
        <v>女</v>
      </c>
      <c r="F1312" s="10"/>
    </row>
    <row r="1313" spans="1:6" ht="34.5" customHeight="1">
      <c r="A1313" s="9">
        <v>1311</v>
      </c>
      <c r="B1313" s="10" t="str">
        <f>"54492023070311424096802"</f>
        <v>54492023070311424096802</v>
      </c>
      <c r="C1313" s="10" t="s">
        <v>12</v>
      </c>
      <c r="D1313" s="10" t="str">
        <f>"容亚梅"</f>
        <v>容亚梅</v>
      </c>
      <c r="E1313" s="10" t="str">
        <f t="shared" si="60"/>
        <v>女</v>
      </c>
      <c r="F1313" s="10"/>
    </row>
    <row r="1314" spans="1:6" ht="34.5" customHeight="1">
      <c r="A1314" s="9">
        <v>1312</v>
      </c>
      <c r="B1314" s="10" t="str">
        <f>"544920230707085539111710"</f>
        <v>544920230707085539111710</v>
      </c>
      <c r="C1314" s="10" t="s">
        <v>12</v>
      </c>
      <c r="D1314" s="10" t="str">
        <f>"石晶"</f>
        <v>石晶</v>
      </c>
      <c r="E1314" s="10" t="str">
        <f t="shared" si="60"/>
        <v>女</v>
      </c>
      <c r="F1314" s="10"/>
    </row>
    <row r="1315" spans="1:6" ht="34.5" customHeight="1">
      <c r="A1315" s="9">
        <v>1313</v>
      </c>
      <c r="B1315" s="10" t="str">
        <f>"544920230707121834112933"</f>
        <v>544920230707121834112933</v>
      </c>
      <c r="C1315" s="10" t="s">
        <v>12</v>
      </c>
      <c r="D1315" s="10" t="str">
        <f>"罗崇向"</f>
        <v>罗崇向</v>
      </c>
      <c r="E1315" s="10" t="str">
        <f>"男"</f>
        <v>男</v>
      </c>
      <c r="F1315" s="10"/>
    </row>
    <row r="1316" spans="1:6" ht="34.5" customHeight="1">
      <c r="A1316" s="9">
        <v>1314</v>
      </c>
      <c r="B1316" s="10" t="str">
        <f>"544920230707173759114402"</f>
        <v>544920230707173759114402</v>
      </c>
      <c r="C1316" s="10" t="s">
        <v>12</v>
      </c>
      <c r="D1316" s="10" t="str">
        <f>"林美"</f>
        <v>林美</v>
      </c>
      <c r="E1316" s="10" t="str">
        <f aca="true" t="shared" si="61" ref="E1316:E1321">"女"</f>
        <v>女</v>
      </c>
      <c r="F1316" s="10"/>
    </row>
    <row r="1317" spans="1:6" ht="34.5" customHeight="1">
      <c r="A1317" s="9">
        <v>1315</v>
      </c>
      <c r="B1317" s="10" t="str">
        <f>"544920230707190420114666"</f>
        <v>544920230707190420114666</v>
      </c>
      <c r="C1317" s="10" t="s">
        <v>12</v>
      </c>
      <c r="D1317" s="10" t="str">
        <f>"靖文博"</f>
        <v>靖文博</v>
      </c>
      <c r="E1317" s="10" t="str">
        <f t="shared" si="61"/>
        <v>女</v>
      </c>
      <c r="F1317" s="10"/>
    </row>
    <row r="1318" spans="1:6" ht="34.5" customHeight="1">
      <c r="A1318" s="9">
        <v>1316</v>
      </c>
      <c r="B1318" s="10" t="str">
        <f>"544920230708125600116598"</f>
        <v>544920230708125600116598</v>
      </c>
      <c r="C1318" s="10" t="s">
        <v>12</v>
      </c>
      <c r="D1318" s="10" t="str">
        <f>"陈小惠"</f>
        <v>陈小惠</v>
      </c>
      <c r="E1318" s="10" t="str">
        <f t="shared" si="61"/>
        <v>女</v>
      </c>
      <c r="F1318" s="10"/>
    </row>
    <row r="1319" spans="1:6" ht="34.5" customHeight="1">
      <c r="A1319" s="9">
        <v>1317</v>
      </c>
      <c r="B1319" s="10" t="str">
        <f>"544920230708133057116742"</f>
        <v>544920230708133057116742</v>
      </c>
      <c r="C1319" s="10" t="s">
        <v>12</v>
      </c>
      <c r="D1319" s="10" t="str">
        <f>"金娜"</f>
        <v>金娜</v>
      </c>
      <c r="E1319" s="10" t="str">
        <f t="shared" si="61"/>
        <v>女</v>
      </c>
      <c r="F1319" s="10"/>
    </row>
    <row r="1320" spans="1:6" ht="34.5" customHeight="1">
      <c r="A1320" s="9">
        <v>1318</v>
      </c>
      <c r="B1320" s="10" t="str">
        <f>"544920230708191630117652"</f>
        <v>544920230708191630117652</v>
      </c>
      <c r="C1320" s="10" t="s">
        <v>12</v>
      </c>
      <c r="D1320" s="10" t="str">
        <f>"杨艳芳"</f>
        <v>杨艳芳</v>
      </c>
      <c r="E1320" s="10" t="str">
        <f t="shared" si="61"/>
        <v>女</v>
      </c>
      <c r="F1320" s="10"/>
    </row>
    <row r="1321" spans="1:6" ht="34.5" customHeight="1">
      <c r="A1321" s="9">
        <v>1319</v>
      </c>
      <c r="B1321" s="10" t="str">
        <f>"544920230708221413117795"</f>
        <v>544920230708221413117795</v>
      </c>
      <c r="C1321" s="10" t="s">
        <v>12</v>
      </c>
      <c r="D1321" s="10" t="str">
        <f>"陈如微"</f>
        <v>陈如微</v>
      </c>
      <c r="E1321" s="10" t="str">
        <f t="shared" si="61"/>
        <v>女</v>
      </c>
      <c r="F1321" s="10"/>
    </row>
    <row r="1322" spans="1:6" ht="34.5" customHeight="1">
      <c r="A1322" s="9">
        <v>1320</v>
      </c>
      <c r="B1322" s="10" t="str">
        <f>"544920230708082628115750"</f>
        <v>544920230708082628115750</v>
      </c>
      <c r="C1322" s="10" t="s">
        <v>12</v>
      </c>
      <c r="D1322" s="10" t="str">
        <f>"宁子威"</f>
        <v>宁子威</v>
      </c>
      <c r="E1322" s="10" t="str">
        <f>"男"</f>
        <v>男</v>
      </c>
      <c r="F1322" s="10"/>
    </row>
    <row r="1323" spans="1:6" ht="34.5" customHeight="1">
      <c r="A1323" s="9">
        <v>1321</v>
      </c>
      <c r="B1323" s="10" t="str">
        <f>"544920230706205424110819"</f>
        <v>544920230706205424110819</v>
      </c>
      <c r="C1323" s="10" t="s">
        <v>12</v>
      </c>
      <c r="D1323" s="10" t="str">
        <f>"黄慧欣"</f>
        <v>黄慧欣</v>
      </c>
      <c r="E1323" s="10" t="str">
        <f aca="true" t="shared" si="62" ref="E1323:E1333">"女"</f>
        <v>女</v>
      </c>
      <c r="F1323" s="10"/>
    </row>
    <row r="1324" spans="1:6" ht="34.5" customHeight="1">
      <c r="A1324" s="9">
        <v>1322</v>
      </c>
      <c r="B1324" s="10" t="str">
        <f>"544920230709182851118289"</f>
        <v>544920230709182851118289</v>
      </c>
      <c r="C1324" s="10" t="s">
        <v>12</v>
      </c>
      <c r="D1324" s="10" t="str">
        <f>"唐二花"</f>
        <v>唐二花</v>
      </c>
      <c r="E1324" s="10" t="str">
        <f t="shared" si="62"/>
        <v>女</v>
      </c>
      <c r="F1324" s="10"/>
    </row>
    <row r="1325" spans="1:6" ht="34.5" customHeight="1">
      <c r="A1325" s="9">
        <v>1323</v>
      </c>
      <c r="B1325" s="10" t="str">
        <f>"544920230709192636118327"</f>
        <v>544920230709192636118327</v>
      </c>
      <c r="C1325" s="10" t="s">
        <v>12</v>
      </c>
      <c r="D1325" s="10" t="str">
        <f>"黎昌柳"</f>
        <v>黎昌柳</v>
      </c>
      <c r="E1325" s="10" t="str">
        <f t="shared" si="62"/>
        <v>女</v>
      </c>
      <c r="F1325" s="10"/>
    </row>
    <row r="1326" spans="1:6" ht="34.5" customHeight="1">
      <c r="A1326" s="9">
        <v>1324</v>
      </c>
      <c r="B1326" s="10" t="str">
        <f>"544920230709194926118336"</f>
        <v>544920230709194926118336</v>
      </c>
      <c r="C1326" s="10" t="s">
        <v>12</v>
      </c>
      <c r="D1326" s="10" t="str">
        <f>"谢娴"</f>
        <v>谢娴</v>
      </c>
      <c r="E1326" s="10" t="str">
        <f t="shared" si="62"/>
        <v>女</v>
      </c>
      <c r="F1326" s="10"/>
    </row>
    <row r="1327" spans="1:6" ht="34.5" customHeight="1">
      <c r="A1327" s="9">
        <v>1325</v>
      </c>
      <c r="B1327" s="10" t="str">
        <f>"544920230709214618118446"</f>
        <v>544920230709214618118446</v>
      </c>
      <c r="C1327" s="10" t="s">
        <v>12</v>
      </c>
      <c r="D1327" s="10" t="str">
        <f>"坟家琴"</f>
        <v>坟家琴</v>
      </c>
      <c r="E1327" s="10" t="str">
        <f t="shared" si="62"/>
        <v>女</v>
      </c>
      <c r="F1327" s="10"/>
    </row>
    <row r="1328" spans="1:6" ht="34.5" customHeight="1">
      <c r="A1328" s="9">
        <v>1326</v>
      </c>
      <c r="B1328" s="10" t="str">
        <f>"544920230709222359118487"</f>
        <v>544920230709222359118487</v>
      </c>
      <c r="C1328" s="10" t="s">
        <v>12</v>
      </c>
      <c r="D1328" s="10" t="str">
        <f>"林福余"</f>
        <v>林福余</v>
      </c>
      <c r="E1328" s="10" t="str">
        <f t="shared" si="62"/>
        <v>女</v>
      </c>
      <c r="F1328" s="10"/>
    </row>
    <row r="1329" spans="1:6" ht="34.5" customHeight="1">
      <c r="A1329" s="9">
        <v>1327</v>
      </c>
      <c r="B1329" s="10" t="str">
        <f>"544920230710012221118614"</f>
        <v>544920230710012221118614</v>
      </c>
      <c r="C1329" s="10" t="s">
        <v>12</v>
      </c>
      <c r="D1329" s="10" t="str">
        <f>"梁锦"</f>
        <v>梁锦</v>
      </c>
      <c r="E1329" s="10" t="str">
        <f t="shared" si="62"/>
        <v>女</v>
      </c>
      <c r="F1329" s="10"/>
    </row>
    <row r="1330" spans="1:6" ht="34.5" customHeight="1">
      <c r="A1330" s="9">
        <v>1328</v>
      </c>
      <c r="B1330" s="10" t="str">
        <f>"544920230709203753118376"</f>
        <v>544920230709203753118376</v>
      </c>
      <c r="C1330" s="10" t="s">
        <v>12</v>
      </c>
      <c r="D1330" s="10" t="str">
        <f>"李梦妍"</f>
        <v>李梦妍</v>
      </c>
      <c r="E1330" s="10" t="str">
        <f t="shared" si="62"/>
        <v>女</v>
      </c>
      <c r="F1330" s="10"/>
    </row>
    <row r="1331" spans="1:6" ht="34.5" customHeight="1">
      <c r="A1331" s="9">
        <v>1329</v>
      </c>
      <c r="B1331" s="10" t="str">
        <f>"544920230710102555118880"</f>
        <v>544920230710102555118880</v>
      </c>
      <c r="C1331" s="10" t="s">
        <v>12</v>
      </c>
      <c r="D1331" s="10" t="str">
        <f>"王一平"</f>
        <v>王一平</v>
      </c>
      <c r="E1331" s="10" t="str">
        <f t="shared" si="62"/>
        <v>女</v>
      </c>
      <c r="F1331" s="10"/>
    </row>
    <row r="1332" spans="1:6" ht="34.5" customHeight="1">
      <c r="A1332" s="9">
        <v>1330</v>
      </c>
      <c r="B1332" s="10" t="str">
        <f>"544920230710104511118931"</f>
        <v>544920230710104511118931</v>
      </c>
      <c r="C1332" s="10" t="s">
        <v>12</v>
      </c>
      <c r="D1332" s="10" t="str">
        <f>"薛桃秋"</f>
        <v>薛桃秋</v>
      </c>
      <c r="E1332" s="10" t="str">
        <f t="shared" si="62"/>
        <v>女</v>
      </c>
      <c r="F1332" s="10"/>
    </row>
    <row r="1333" spans="1:6" ht="34.5" customHeight="1">
      <c r="A1333" s="9">
        <v>1331</v>
      </c>
      <c r="B1333" s="10" t="str">
        <f>"544920230709210336118401"</f>
        <v>544920230709210336118401</v>
      </c>
      <c r="C1333" s="10" t="s">
        <v>12</v>
      </c>
      <c r="D1333" s="10" t="str">
        <f>"李华旖"</f>
        <v>李华旖</v>
      </c>
      <c r="E1333" s="10" t="str">
        <f t="shared" si="62"/>
        <v>女</v>
      </c>
      <c r="F1333" s="10"/>
    </row>
    <row r="1334" spans="1:6" ht="34.5" customHeight="1">
      <c r="A1334" s="9">
        <v>1332</v>
      </c>
      <c r="B1334" s="10" t="str">
        <f>"544920230710112712119017"</f>
        <v>544920230710112712119017</v>
      </c>
      <c r="C1334" s="10" t="s">
        <v>12</v>
      </c>
      <c r="D1334" s="10" t="str">
        <f>"张良"</f>
        <v>张良</v>
      </c>
      <c r="E1334" s="10" t="str">
        <f>"男"</f>
        <v>男</v>
      </c>
      <c r="F1334" s="10"/>
    </row>
    <row r="1335" spans="1:6" ht="34.5" customHeight="1">
      <c r="A1335" s="9">
        <v>1333</v>
      </c>
      <c r="B1335" s="10" t="str">
        <f>"54492023070208174492831"</f>
        <v>54492023070208174492831</v>
      </c>
      <c r="C1335" s="10" t="s">
        <v>13</v>
      </c>
      <c r="D1335" s="10" t="str">
        <f>"梁振名"</f>
        <v>梁振名</v>
      </c>
      <c r="E1335" s="10" t="str">
        <f>"男"</f>
        <v>男</v>
      </c>
      <c r="F1335" s="10"/>
    </row>
    <row r="1336" spans="1:6" ht="34.5" customHeight="1">
      <c r="A1336" s="9">
        <v>1334</v>
      </c>
      <c r="B1336" s="10" t="str">
        <f>"54492023070211324093355"</f>
        <v>54492023070211324093355</v>
      </c>
      <c r="C1336" s="10" t="s">
        <v>13</v>
      </c>
      <c r="D1336" s="10" t="str">
        <f>"曾和"</f>
        <v>曾和</v>
      </c>
      <c r="E1336" s="10" t="str">
        <f aca="true" t="shared" si="63" ref="E1336:E1341">"女"</f>
        <v>女</v>
      </c>
      <c r="F1336" s="10"/>
    </row>
    <row r="1337" spans="1:6" ht="34.5" customHeight="1">
      <c r="A1337" s="9">
        <v>1335</v>
      </c>
      <c r="B1337" s="10" t="str">
        <f>"54492023070213190093621"</f>
        <v>54492023070213190093621</v>
      </c>
      <c r="C1337" s="10" t="s">
        <v>13</v>
      </c>
      <c r="D1337" s="10" t="str">
        <f>"符春英"</f>
        <v>符春英</v>
      </c>
      <c r="E1337" s="10" t="str">
        <f t="shared" si="63"/>
        <v>女</v>
      </c>
      <c r="F1337" s="10"/>
    </row>
    <row r="1338" spans="1:6" ht="34.5" customHeight="1">
      <c r="A1338" s="9">
        <v>1336</v>
      </c>
      <c r="B1338" s="10" t="str">
        <f>"54492023070216392094115"</f>
        <v>54492023070216392094115</v>
      </c>
      <c r="C1338" s="10" t="s">
        <v>13</v>
      </c>
      <c r="D1338" s="10" t="str">
        <f>"王小亚"</f>
        <v>王小亚</v>
      </c>
      <c r="E1338" s="10" t="str">
        <f t="shared" si="63"/>
        <v>女</v>
      </c>
      <c r="F1338" s="10"/>
    </row>
    <row r="1339" spans="1:6" ht="34.5" customHeight="1">
      <c r="A1339" s="9">
        <v>1337</v>
      </c>
      <c r="B1339" s="10" t="str">
        <f>"54492023070221310894767"</f>
        <v>54492023070221310894767</v>
      </c>
      <c r="C1339" s="10" t="s">
        <v>13</v>
      </c>
      <c r="D1339" s="10" t="str">
        <f>"宋婷婷"</f>
        <v>宋婷婷</v>
      </c>
      <c r="E1339" s="10" t="str">
        <f t="shared" si="63"/>
        <v>女</v>
      </c>
      <c r="F1339" s="10"/>
    </row>
    <row r="1340" spans="1:6" ht="34.5" customHeight="1">
      <c r="A1340" s="9">
        <v>1338</v>
      </c>
      <c r="B1340" s="10" t="str">
        <f>"54492023070221253794751"</f>
        <v>54492023070221253794751</v>
      </c>
      <c r="C1340" s="10" t="s">
        <v>13</v>
      </c>
      <c r="D1340" s="10" t="str">
        <f>"李海霞"</f>
        <v>李海霞</v>
      </c>
      <c r="E1340" s="10" t="str">
        <f t="shared" si="63"/>
        <v>女</v>
      </c>
      <c r="F1340" s="10"/>
    </row>
    <row r="1341" spans="1:6" ht="34.5" customHeight="1">
      <c r="A1341" s="9">
        <v>1339</v>
      </c>
      <c r="B1341" s="10" t="str">
        <f>"54492023070301553595203"</f>
        <v>54492023070301553595203</v>
      </c>
      <c r="C1341" s="10" t="s">
        <v>13</v>
      </c>
      <c r="D1341" s="10" t="str">
        <f>"文金转"</f>
        <v>文金转</v>
      </c>
      <c r="E1341" s="10" t="str">
        <f t="shared" si="63"/>
        <v>女</v>
      </c>
      <c r="F1341" s="10"/>
    </row>
    <row r="1342" spans="1:6" ht="34.5" customHeight="1">
      <c r="A1342" s="9">
        <v>1340</v>
      </c>
      <c r="B1342" s="10" t="str">
        <f>"54492023070210134793125"</f>
        <v>54492023070210134793125</v>
      </c>
      <c r="C1342" s="10" t="s">
        <v>13</v>
      </c>
      <c r="D1342" s="10" t="str">
        <f>"邢维源"</f>
        <v>邢维源</v>
      </c>
      <c r="E1342" s="10" t="str">
        <f>"男"</f>
        <v>男</v>
      </c>
      <c r="F1342" s="10"/>
    </row>
    <row r="1343" spans="1:6" ht="34.5" customHeight="1">
      <c r="A1343" s="9">
        <v>1341</v>
      </c>
      <c r="B1343" s="10" t="str">
        <f>"54492023070315092097842"</f>
        <v>54492023070315092097842</v>
      </c>
      <c r="C1343" s="10" t="s">
        <v>13</v>
      </c>
      <c r="D1343" s="10" t="str">
        <f>"邢秋碧"</f>
        <v>邢秋碧</v>
      </c>
      <c r="E1343" s="10" t="str">
        <f aca="true" t="shared" si="64" ref="E1343:E1351">"女"</f>
        <v>女</v>
      </c>
      <c r="F1343" s="10"/>
    </row>
    <row r="1344" spans="1:6" ht="34.5" customHeight="1">
      <c r="A1344" s="9">
        <v>1342</v>
      </c>
      <c r="B1344" s="10" t="str">
        <f>"54492023070316243598302"</f>
        <v>54492023070316243598302</v>
      </c>
      <c r="C1344" s="10" t="s">
        <v>13</v>
      </c>
      <c r="D1344" s="10" t="str">
        <f>"秦玉丹"</f>
        <v>秦玉丹</v>
      </c>
      <c r="E1344" s="10" t="str">
        <f t="shared" si="64"/>
        <v>女</v>
      </c>
      <c r="F1344" s="10"/>
    </row>
    <row r="1345" spans="1:6" ht="34.5" customHeight="1">
      <c r="A1345" s="9">
        <v>1343</v>
      </c>
      <c r="B1345" s="10" t="str">
        <f>"54492023070317220198642"</f>
        <v>54492023070317220198642</v>
      </c>
      <c r="C1345" s="10" t="s">
        <v>13</v>
      </c>
      <c r="D1345" s="10" t="str">
        <f>"杨天宇"</f>
        <v>杨天宇</v>
      </c>
      <c r="E1345" s="10" t="str">
        <f t="shared" si="64"/>
        <v>女</v>
      </c>
      <c r="F1345" s="10"/>
    </row>
    <row r="1346" spans="1:6" ht="34.5" customHeight="1">
      <c r="A1346" s="9">
        <v>1344</v>
      </c>
      <c r="B1346" s="10" t="str">
        <f>"54492023070222505894993"</f>
        <v>54492023070222505894993</v>
      </c>
      <c r="C1346" s="10" t="s">
        <v>13</v>
      </c>
      <c r="D1346" s="10" t="str">
        <f>"张天洁"</f>
        <v>张天洁</v>
      </c>
      <c r="E1346" s="10" t="str">
        <f t="shared" si="64"/>
        <v>女</v>
      </c>
      <c r="F1346" s="10"/>
    </row>
    <row r="1347" spans="1:6" ht="34.5" customHeight="1">
      <c r="A1347" s="9">
        <v>1345</v>
      </c>
      <c r="B1347" s="10" t="str">
        <f>"54492023070320513499484"</f>
        <v>54492023070320513499484</v>
      </c>
      <c r="C1347" s="10" t="s">
        <v>13</v>
      </c>
      <c r="D1347" s="10" t="str">
        <f>"陈侃"</f>
        <v>陈侃</v>
      </c>
      <c r="E1347" s="10" t="str">
        <f t="shared" si="64"/>
        <v>女</v>
      </c>
      <c r="F1347" s="10"/>
    </row>
    <row r="1348" spans="1:6" ht="34.5" customHeight="1">
      <c r="A1348" s="9">
        <v>1346</v>
      </c>
      <c r="B1348" s="10" t="str">
        <f>"54492023070314014397519"</f>
        <v>54492023070314014397519</v>
      </c>
      <c r="C1348" s="10" t="s">
        <v>13</v>
      </c>
      <c r="D1348" s="10" t="str">
        <f>"陈佳佳"</f>
        <v>陈佳佳</v>
      </c>
      <c r="E1348" s="10" t="str">
        <f t="shared" si="64"/>
        <v>女</v>
      </c>
      <c r="F1348" s="10" t="str">
        <f>"身份证后四位为6320"</f>
        <v>身份证后四位为6320</v>
      </c>
    </row>
    <row r="1349" spans="1:6" ht="34.5" customHeight="1">
      <c r="A1349" s="9">
        <v>1347</v>
      </c>
      <c r="B1349" s="10" t="str">
        <f>"544920230703224724100059"</f>
        <v>544920230703224724100059</v>
      </c>
      <c r="C1349" s="10" t="s">
        <v>13</v>
      </c>
      <c r="D1349" s="10" t="str">
        <f>"王姑"</f>
        <v>王姑</v>
      </c>
      <c r="E1349" s="10" t="str">
        <f t="shared" si="64"/>
        <v>女</v>
      </c>
      <c r="F1349" s="10"/>
    </row>
    <row r="1350" spans="1:6" ht="34.5" customHeight="1">
      <c r="A1350" s="9">
        <v>1348</v>
      </c>
      <c r="B1350" s="10" t="str">
        <f>"544920230703233834100234"</f>
        <v>544920230703233834100234</v>
      </c>
      <c r="C1350" s="10" t="s">
        <v>13</v>
      </c>
      <c r="D1350" s="10" t="str">
        <f>"严仁薇"</f>
        <v>严仁薇</v>
      </c>
      <c r="E1350" s="10" t="str">
        <f t="shared" si="64"/>
        <v>女</v>
      </c>
      <c r="F1350" s="10"/>
    </row>
    <row r="1351" spans="1:6" ht="34.5" customHeight="1">
      <c r="A1351" s="9">
        <v>1349</v>
      </c>
      <c r="B1351" s="10" t="str">
        <f>"544920230704090639100741"</f>
        <v>544920230704090639100741</v>
      </c>
      <c r="C1351" s="10" t="s">
        <v>13</v>
      </c>
      <c r="D1351" s="10" t="str">
        <f>"傅娇曼"</f>
        <v>傅娇曼</v>
      </c>
      <c r="E1351" s="10" t="str">
        <f t="shared" si="64"/>
        <v>女</v>
      </c>
      <c r="F1351" s="10"/>
    </row>
    <row r="1352" spans="1:6" ht="34.5" customHeight="1">
      <c r="A1352" s="9">
        <v>1350</v>
      </c>
      <c r="B1352" s="10" t="str">
        <f>"54492023070222573595009"</f>
        <v>54492023070222573595009</v>
      </c>
      <c r="C1352" s="10" t="s">
        <v>13</v>
      </c>
      <c r="D1352" s="10" t="str">
        <f>"王琪华"</f>
        <v>王琪华</v>
      </c>
      <c r="E1352" s="10" t="str">
        <f>"男"</f>
        <v>男</v>
      </c>
      <c r="F1352" s="10"/>
    </row>
    <row r="1353" spans="1:6" ht="34.5" customHeight="1">
      <c r="A1353" s="9">
        <v>1351</v>
      </c>
      <c r="B1353" s="10" t="str">
        <f>"544920230704112700101454"</f>
        <v>544920230704112700101454</v>
      </c>
      <c r="C1353" s="10" t="s">
        <v>13</v>
      </c>
      <c r="D1353" s="10" t="str">
        <f>"黄依依"</f>
        <v>黄依依</v>
      </c>
      <c r="E1353" s="10" t="str">
        <f>"女"</f>
        <v>女</v>
      </c>
      <c r="F1353" s="10"/>
    </row>
    <row r="1354" spans="1:6" ht="34.5" customHeight="1">
      <c r="A1354" s="9">
        <v>1352</v>
      </c>
      <c r="B1354" s="10" t="str">
        <f>"544920230704120750101619"</f>
        <v>544920230704120750101619</v>
      </c>
      <c r="C1354" s="10" t="s">
        <v>13</v>
      </c>
      <c r="D1354" s="10" t="str">
        <f>"谢结惠"</f>
        <v>谢结惠</v>
      </c>
      <c r="E1354" s="10" t="str">
        <f>"女"</f>
        <v>女</v>
      </c>
      <c r="F1354" s="10"/>
    </row>
    <row r="1355" spans="1:6" ht="34.5" customHeight="1">
      <c r="A1355" s="9">
        <v>1353</v>
      </c>
      <c r="B1355" s="10" t="str">
        <f>"54492023070316320698351"</f>
        <v>54492023070316320698351</v>
      </c>
      <c r="C1355" s="10" t="s">
        <v>13</v>
      </c>
      <c r="D1355" s="10" t="str">
        <f>"韩生"</f>
        <v>韩生</v>
      </c>
      <c r="E1355" s="10" t="str">
        <f>"男"</f>
        <v>男</v>
      </c>
      <c r="F1355" s="10"/>
    </row>
    <row r="1356" spans="1:6" ht="34.5" customHeight="1">
      <c r="A1356" s="9">
        <v>1354</v>
      </c>
      <c r="B1356" s="10" t="str">
        <f>"54492023070312135096959"</f>
        <v>54492023070312135096959</v>
      </c>
      <c r="C1356" s="10" t="s">
        <v>13</v>
      </c>
      <c r="D1356" s="10" t="str">
        <f>"黄微微"</f>
        <v>黄微微</v>
      </c>
      <c r="E1356" s="10" t="str">
        <f>"女"</f>
        <v>女</v>
      </c>
      <c r="F1356" s="10"/>
    </row>
    <row r="1357" spans="1:6" ht="34.5" customHeight="1">
      <c r="A1357" s="9">
        <v>1355</v>
      </c>
      <c r="B1357" s="10" t="str">
        <f>"54492023070220265694572"</f>
        <v>54492023070220265694572</v>
      </c>
      <c r="C1357" s="10" t="s">
        <v>13</v>
      </c>
      <c r="D1357" s="10" t="str">
        <f>"董龙根"</f>
        <v>董龙根</v>
      </c>
      <c r="E1357" s="10" t="str">
        <f>"男"</f>
        <v>男</v>
      </c>
      <c r="F1357" s="10"/>
    </row>
    <row r="1358" spans="1:6" ht="34.5" customHeight="1">
      <c r="A1358" s="9">
        <v>1356</v>
      </c>
      <c r="B1358" s="10" t="str">
        <f>"544920230704225245103353"</f>
        <v>544920230704225245103353</v>
      </c>
      <c r="C1358" s="10" t="s">
        <v>13</v>
      </c>
      <c r="D1358" s="10" t="str">
        <f>"张雨荷"</f>
        <v>张雨荷</v>
      </c>
      <c r="E1358" s="10" t="str">
        <f>"女"</f>
        <v>女</v>
      </c>
      <c r="F1358" s="10"/>
    </row>
    <row r="1359" spans="1:6" ht="34.5" customHeight="1">
      <c r="A1359" s="9">
        <v>1357</v>
      </c>
      <c r="B1359" s="10" t="str">
        <f>"544920230705030345103558"</f>
        <v>544920230705030345103558</v>
      </c>
      <c r="C1359" s="10" t="s">
        <v>13</v>
      </c>
      <c r="D1359" s="10" t="str">
        <f>"王政"</f>
        <v>王政</v>
      </c>
      <c r="E1359" s="10" t="str">
        <f>"男"</f>
        <v>男</v>
      </c>
      <c r="F1359" s="10"/>
    </row>
    <row r="1360" spans="1:6" ht="34.5" customHeight="1">
      <c r="A1360" s="9">
        <v>1358</v>
      </c>
      <c r="B1360" s="10" t="str">
        <f>"544920230705095011103966"</f>
        <v>544920230705095011103966</v>
      </c>
      <c r="C1360" s="10" t="s">
        <v>13</v>
      </c>
      <c r="D1360" s="10" t="str">
        <f>"李达京"</f>
        <v>李达京</v>
      </c>
      <c r="E1360" s="10" t="str">
        <f>"男"</f>
        <v>男</v>
      </c>
      <c r="F1360" s="10"/>
    </row>
    <row r="1361" spans="1:6" ht="34.5" customHeight="1">
      <c r="A1361" s="9">
        <v>1359</v>
      </c>
      <c r="B1361" s="10" t="str">
        <f>"544920230704155822102252"</f>
        <v>544920230704155822102252</v>
      </c>
      <c r="C1361" s="10" t="s">
        <v>13</v>
      </c>
      <c r="D1361" s="10" t="str">
        <f>"陈芳莹"</f>
        <v>陈芳莹</v>
      </c>
      <c r="E1361" s="10" t="str">
        <f aca="true" t="shared" si="65" ref="E1361:E1366">"女"</f>
        <v>女</v>
      </c>
      <c r="F1361" s="10"/>
    </row>
    <row r="1362" spans="1:6" ht="34.5" customHeight="1">
      <c r="A1362" s="9">
        <v>1360</v>
      </c>
      <c r="B1362" s="10" t="str">
        <f>"544920230704232230103405"</f>
        <v>544920230704232230103405</v>
      </c>
      <c r="C1362" s="10" t="s">
        <v>13</v>
      </c>
      <c r="D1362" s="10" t="str">
        <f>"陈彦洁"</f>
        <v>陈彦洁</v>
      </c>
      <c r="E1362" s="10" t="str">
        <f t="shared" si="65"/>
        <v>女</v>
      </c>
      <c r="F1362" s="10"/>
    </row>
    <row r="1363" spans="1:6" ht="34.5" customHeight="1">
      <c r="A1363" s="9">
        <v>1361</v>
      </c>
      <c r="B1363" s="10" t="str">
        <f>"544920230705090425103772"</f>
        <v>544920230705090425103772</v>
      </c>
      <c r="C1363" s="10" t="s">
        <v>13</v>
      </c>
      <c r="D1363" s="10" t="str">
        <f>"王清媚"</f>
        <v>王清媚</v>
      </c>
      <c r="E1363" s="10" t="str">
        <f t="shared" si="65"/>
        <v>女</v>
      </c>
      <c r="F1363" s="10"/>
    </row>
    <row r="1364" spans="1:6" ht="34.5" customHeight="1">
      <c r="A1364" s="9">
        <v>1362</v>
      </c>
      <c r="B1364" s="10" t="str">
        <f>"544920230705110624104298"</f>
        <v>544920230705110624104298</v>
      </c>
      <c r="C1364" s="10" t="s">
        <v>13</v>
      </c>
      <c r="D1364" s="10" t="str">
        <f>"许华央"</f>
        <v>许华央</v>
      </c>
      <c r="E1364" s="10" t="str">
        <f t="shared" si="65"/>
        <v>女</v>
      </c>
      <c r="F1364" s="10"/>
    </row>
    <row r="1365" spans="1:6" ht="34.5" customHeight="1">
      <c r="A1365" s="9">
        <v>1363</v>
      </c>
      <c r="B1365" s="10" t="str">
        <f>"544920230705132016104643"</f>
        <v>544920230705132016104643</v>
      </c>
      <c r="C1365" s="10" t="s">
        <v>13</v>
      </c>
      <c r="D1365" s="10" t="str">
        <f>"王华英"</f>
        <v>王华英</v>
      </c>
      <c r="E1365" s="10" t="str">
        <f t="shared" si="65"/>
        <v>女</v>
      </c>
      <c r="F1365" s="10"/>
    </row>
    <row r="1366" spans="1:6" ht="34.5" customHeight="1">
      <c r="A1366" s="9">
        <v>1364</v>
      </c>
      <c r="B1366" s="10" t="str">
        <f>"544920230704102645101130"</f>
        <v>544920230704102645101130</v>
      </c>
      <c r="C1366" s="10" t="s">
        <v>13</v>
      </c>
      <c r="D1366" s="10" t="str">
        <f>"唐子得"</f>
        <v>唐子得</v>
      </c>
      <c r="E1366" s="10" t="str">
        <f t="shared" si="65"/>
        <v>女</v>
      </c>
      <c r="F1366" s="10"/>
    </row>
    <row r="1367" spans="1:6" ht="34.5" customHeight="1">
      <c r="A1367" s="9">
        <v>1365</v>
      </c>
      <c r="B1367" s="10" t="str">
        <f>"544920230705135816104713"</f>
        <v>544920230705135816104713</v>
      </c>
      <c r="C1367" s="10" t="s">
        <v>13</v>
      </c>
      <c r="D1367" s="10" t="str">
        <f>"苏国林"</f>
        <v>苏国林</v>
      </c>
      <c r="E1367" s="10" t="str">
        <f>"男"</f>
        <v>男</v>
      </c>
      <c r="F1367" s="10"/>
    </row>
    <row r="1368" spans="1:6" ht="34.5" customHeight="1">
      <c r="A1368" s="9">
        <v>1366</v>
      </c>
      <c r="B1368" s="10" t="str">
        <f>"544920230705143403104782"</f>
        <v>544920230705143403104782</v>
      </c>
      <c r="C1368" s="10" t="s">
        <v>13</v>
      </c>
      <c r="D1368" s="10" t="str">
        <f>"王焕妙"</f>
        <v>王焕妙</v>
      </c>
      <c r="E1368" s="10" t="str">
        <f aca="true" t="shared" si="66" ref="E1368:E1373">"女"</f>
        <v>女</v>
      </c>
      <c r="F1368" s="10"/>
    </row>
    <row r="1369" spans="1:6" ht="34.5" customHeight="1">
      <c r="A1369" s="9">
        <v>1367</v>
      </c>
      <c r="B1369" s="10" t="str">
        <f>"544920230705151036104896"</f>
        <v>544920230705151036104896</v>
      </c>
      <c r="C1369" s="10" t="s">
        <v>13</v>
      </c>
      <c r="D1369" s="10" t="str">
        <f>"雷妃"</f>
        <v>雷妃</v>
      </c>
      <c r="E1369" s="10" t="str">
        <f t="shared" si="66"/>
        <v>女</v>
      </c>
      <c r="F1369" s="10"/>
    </row>
    <row r="1370" spans="1:6" ht="34.5" customHeight="1">
      <c r="A1370" s="9">
        <v>1368</v>
      </c>
      <c r="B1370" s="10" t="str">
        <f>"544920230705172339105257"</f>
        <v>544920230705172339105257</v>
      </c>
      <c r="C1370" s="10" t="s">
        <v>13</v>
      </c>
      <c r="D1370" s="10" t="str">
        <f>"吴芷婷"</f>
        <v>吴芷婷</v>
      </c>
      <c r="E1370" s="10" t="str">
        <f t="shared" si="66"/>
        <v>女</v>
      </c>
      <c r="F1370" s="10"/>
    </row>
    <row r="1371" spans="1:6" ht="34.5" customHeight="1">
      <c r="A1371" s="9">
        <v>1369</v>
      </c>
      <c r="B1371" s="10" t="str">
        <f>"544920230705172717105263"</f>
        <v>544920230705172717105263</v>
      </c>
      <c r="C1371" s="10" t="s">
        <v>13</v>
      </c>
      <c r="D1371" s="10" t="str">
        <f>"罗小红"</f>
        <v>罗小红</v>
      </c>
      <c r="E1371" s="10" t="str">
        <f t="shared" si="66"/>
        <v>女</v>
      </c>
      <c r="F1371" s="10"/>
    </row>
    <row r="1372" spans="1:6" ht="34.5" customHeight="1">
      <c r="A1372" s="9">
        <v>1370</v>
      </c>
      <c r="B1372" s="10" t="str">
        <f>"544920230705181459105331"</f>
        <v>544920230705181459105331</v>
      </c>
      <c r="C1372" s="10" t="s">
        <v>13</v>
      </c>
      <c r="D1372" s="10" t="str">
        <f>"郭小慧"</f>
        <v>郭小慧</v>
      </c>
      <c r="E1372" s="10" t="str">
        <f t="shared" si="66"/>
        <v>女</v>
      </c>
      <c r="F1372" s="10"/>
    </row>
    <row r="1373" spans="1:6" ht="34.5" customHeight="1">
      <c r="A1373" s="9">
        <v>1371</v>
      </c>
      <c r="B1373" s="10" t="str">
        <f>"544920230705202802105500"</f>
        <v>544920230705202802105500</v>
      </c>
      <c r="C1373" s="10" t="s">
        <v>13</v>
      </c>
      <c r="D1373" s="10" t="str">
        <f>"赵志桃"</f>
        <v>赵志桃</v>
      </c>
      <c r="E1373" s="10" t="str">
        <f t="shared" si="66"/>
        <v>女</v>
      </c>
      <c r="F1373" s="10"/>
    </row>
    <row r="1374" spans="1:6" ht="34.5" customHeight="1">
      <c r="A1374" s="9">
        <v>1372</v>
      </c>
      <c r="B1374" s="10" t="str">
        <f>"544920230704164448102387"</f>
        <v>544920230704164448102387</v>
      </c>
      <c r="C1374" s="10" t="s">
        <v>13</v>
      </c>
      <c r="D1374" s="10" t="str">
        <f>"李儒"</f>
        <v>李儒</v>
      </c>
      <c r="E1374" s="10" t="str">
        <f>"男"</f>
        <v>男</v>
      </c>
      <c r="F1374" s="10"/>
    </row>
    <row r="1375" spans="1:6" ht="34.5" customHeight="1">
      <c r="A1375" s="9">
        <v>1373</v>
      </c>
      <c r="B1375" s="10" t="str">
        <f>"544920230706152530109203"</f>
        <v>544920230706152530109203</v>
      </c>
      <c r="C1375" s="10" t="s">
        <v>13</v>
      </c>
      <c r="D1375" s="10" t="str">
        <f>"符家绵"</f>
        <v>符家绵</v>
      </c>
      <c r="E1375" s="10" t="str">
        <f aca="true" t="shared" si="67" ref="E1375:E1383">"女"</f>
        <v>女</v>
      </c>
      <c r="F1375" s="10"/>
    </row>
    <row r="1376" spans="1:6" ht="34.5" customHeight="1">
      <c r="A1376" s="9">
        <v>1374</v>
      </c>
      <c r="B1376" s="10" t="str">
        <f>"544920230706120248107980"</f>
        <v>544920230706120248107980</v>
      </c>
      <c r="C1376" s="10" t="s">
        <v>13</v>
      </c>
      <c r="D1376" s="10" t="str">
        <f>"符发庆"</f>
        <v>符发庆</v>
      </c>
      <c r="E1376" s="10" t="str">
        <f t="shared" si="67"/>
        <v>女</v>
      </c>
      <c r="F1376" s="10"/>
    </row>
    <row r="1377" spans="1:6" ht="34.5" customHeight="1">
      <c r="A1377" s="9">
        <v>1375</v>
      </c>
      <c r="B1377" s="10" t="str">
        <f>"544920230706155642109430"</f>
        <v>544920230706155642109430</v>
      </c>
      <c r="C1377" s="10" t="s">
        <v>13</v>
      </c>
      <c r="D1377" s="10" t="str">
        <f>"符亚丹"</f>
        <v>符亚丹</v>
      </c>
      <c r="E1377" s="10" t="str">
        <f t="shared" si="67"/>
        <v>女</v>
      </c>
      <c r="F1377" s="10"/>
    </row>
    <row r="1378" spans="1:6" ht="34.5" customHeight="1">
      <c r="A1378" s="9">
        <v>1376</v>
      </c>
      <c r="B1378" s="10" t="str">
        <f>"544920230706161443109551"</f>
        <v>544920230706161443109551</v>
      </c>
      <c r="C1378" s="10" t="s">
        <v>13</v>
      </c>
      <c r="D1378" s="10" t="str">
        <f>"刘梦佳"</f>
        <v>刘梦佳</v>
      </c>
      <c r="E1378" s="10" t="str">
        <f t="shared" si="67"/>
        <v>女</v>
      </c>
      <c r="F1378" s="10"/>
    </row>
    <row r="1379" spans="1:6" ht="34.5" customHeight="1">
      <c r="A1379" s="9">
        <v>1377</v>
      </c>
      <c r="B1379" s="10" t="str">
        <f>"544920230705174542105294"</f>
        <v>544920230705174542105294</v>
      </c>
      <c r="C1379" s="10" t="s">
        <v>13</v>
      </c>
      <c r="D1379" s="10" t="str">
        <f>"周冬雪"</f>
        <v>周冬雪</v>
      </c>
      <c r="E1379" s="10" t="str">
        <f t="shared" si="67"/>
        <v>女</v>
      </c>
      <c r="F1379" s="10"/>
    </row>
    <row r="1380" spans="1:6" ht="34.5" customHeight="1">
      <c r="A1380" s="9">
        <v>1378</v>
      </c>
      <c r="B1380" s="10" t="str">
        <f>"544920230706165216109824"</f>
        <v>544920230706165216109824</v>
      </c>
      <c r="C1380" s="10" t="s">
        <v>13</v>
      </c>
      <c r="D1380" s="10" t="str">
        <f>"周秀阳"</f>
        <v>周秀阳</v>
      </c>
      <c r="E1380" s="10" t="str">
        <f t="shared" si="67"/>
        <v>女</v>
      </c>
      <c r="F1380" s="10"/>
    </row>
    <row r="1381" spans="1:6" ht="34.5" customHeight="1">
      <c r="A1381" s="9">
        <v>1379</v>
      </c>
      <c r="B1381" s="10" t="str">
        <f>"544920230706212447110946"</f>
        <v>544920230706212447110946</v>
      </c>
      <c r="C1381" s="10" t="s">
        <v>13</v>
      </c>
      <c r="D1381" s="10" t="str">
        <f>"张林晓"</f>
        <v>张林晓</v>
      </c>
      <c r="E1381" s="10" t="str">
        <f t="shared" si="67"/>
        <v>女</v>
      </c>
      <c r="F1381" s="10"/>
    </row>
    <row r="1382" spans="1:6" ht="34.5" customHeight="1">
      <c r="A1382" s="9">
        <v>1380</v>
      </c>
      <c r="B1382" s="10" t="str">
        <f>"544920230705172526105261"</f>
        <v>544920230705172526105261</v>
      </c>
      <c r="C1382" s="10" t="s">
        <v>13</v>
      </c>
      <c r="D1382" s="10" t="str">
        <f>"李亚球"</f>
        <v>李亚球</v>
      </c>
      <c r="E1382" s="10" t="str">
        <f t="shared" si="67"/>
        <v>女</v>
      </c>
      <c r="F1382" s="10"/>
    </row>
    <row r="1383" spans="1:6" ht="34.5" customHeight="1">
      <c r="A1383" s="9">
        <v>1381</v>
      </c>
      <c r="B1383" s="10" t="str">
        <f>"544920230707001649111452"</f>
        <v>544920230707001649111452</v>
      </c>
      <c r="C1383" s="10" t="s">
        <v>13</v>
      </c>
      <c r="D1383" s="10" t="str">
        <f>"苏莉滋"</f>
        <v>苏莉滋</v>
      </c>
      <c r="E1383" s="10" t="str">
        <f t="shared" si="67"/>
        <v>女</v>
      </c>
      <c r="F1383" s="10"/>
    </row>
    <row r="1384" spans="1:6" ht="34.5" customHeight="1">
      <c r="A1384" s="9">
        <v>1382</v>
      </c>
      <c r="B1384" s="10" t="str">
        <f>"544920230707090654111776"</f>
        <v>544920230707090654111776</v>
      </c>
      <c r="C1384" s="10" t="s">
        <v>13</v>
      </c>
      <c r="D1384" s="10" t="str">
        <f>"韦馨定"</f>
        <v>韦馨定</v>
      </c>
      <c r="E1384" s="10" t="str">
        <f>"男"</f>
        <v>男</v>
      </c>
      <c r="F1384" s="10"/>
    </row>
    <row r="1385" spans="1:6" ht="34.5" customHeight="1">
      <c r="A1385" s="9">
        <v>1383</v>
      </c>
      <c r="B1385" s="10" t="str">
        <f>"54492023070216323594096"</f>
        <v>54492023070216323594096</v>
      </c>
      <c r="C1385" s="10" t="s">
        <v>13</v>
      </c>
      <c r="D1385" s="10" t="str">
        <f>"郑源瑶"</f>
        <v>郑源瑶</v>
      </c>
      <c r="E1385" s="10" t="str">
        <f>"女"</f>
        <v>女</v>
      </c>
      <c r="F1385" s="10"/>
    </row>
    <row r="1386" spans="1:6" ht="34.5" customHeight="1">
      <c r="A1386" s="9">
        <v>1384</v>
      </c>
      <c r="B1386" s="10" t="str">
        <f>"544920230707181555114529"</f>
        <v>544920230707181555114529</v>
      </c>
      <c r="C1386" s="10" t="s">
        <v>13</v>
      </c>
      <c r="D1386" s="10" t="str">
        <f>"陈琼"</f>
        <v>陈琼</v>
      </c>
      <c r="E1386" s="10" t="str">
        <f>"女"</f>
        <v>女</v>
      </c>
      <c r="F1386" s="10"/>
    </row>
    <row r="1387" spans="1:6" ht="34.5" customHeight="1">
      <c r="A1387" s="9">
        <v>1385</v>
      </c>
      <c r="B1387" s="10" t="str">
        <f>"544920230708125911116609"</f>
        <v>544920230708125911116609</v>
      </c>
      <c r="C1387" s="10" t="s">
        <v>13</v>
      </c>
      <c r="D1387" s="10" t="str">
        <f>"张丽"</f>
        <v>张丽</v>
      </c>
      <c r="E1387" s="10" t="str">
        <f>"女"</f>
        <v>女</v>
      </c>
      <c r="F1387" s="10"/>
    </row>
    <row r="1388" spans="1:6" ht="34.5" customHeight="1">
      <c r="A1388" s="9">
        <v>1386</v>
      </c>
      <c r="B1388" s="10" t="str">
        <f>"544920230709224602118512"</f>
        <v>544920230709224602118512</v>
      </c>
      <c r="C1388" s="10" t="s">
        <v>13</v>
      </c>
      <c r="D1388" s="10" t="str">
        <f>"黄艳艳"</f>
        <v>黄艳艳</v>
      </c>
      <c r="E1388" s="10" t="str">
        <f>"女"</f>
        <v>女</v>
      </c>
      <c r="F1388" s="10"/>
    </row>
    <row r="1389" spans="1:6" ht="34.5" customHeight="1">
      <c r="A1389" s="9">
        <v>1387</v>
      </c>
      <c r="B1389" s="10" t="str">
        <f>"544920230709231143118539"</f>
        <v>544920230709231143118539</v>
      </c>
      <c r="C1389" s="10" t="s">
        <v>13</v>
      </c>
      <c r="D1389" s="10" t="str">
        <f>"杨子莹"</f>
        <v>杨子莹</v>
      </c>
      <c r="E1389" s="10" t="str">
        <f>"女"</f>
        <v>女</v>
      </c>
      <c r="F1389" s="10"/>
    </row>
    <row r="1390" spans="1:6" ht="34.5" customHeight="1">
      <c r="A1390" s="9">
        <v>1388</v>
      </c>
      <c r="B1390" s="10" t="str">
        <f>"544920230705113338104393"</f>
        <v>544920230705113338104393</v>
      </c>
      <c r="C1390" s="10" t="s">
        <v>13</v>
      </c>
      <c r="D1390" s="10" t="str">
        <f>"赵壮鹿"</f>
        <v>赵壮鹿</v>
      </c>
      <c r="E1390" s="10" t="str">
        <f>"男"</f>
        <v>男</v>
      </c>
      <c r="F1390" s="10"/>
    </row>
    <row r="1391" spans="1:6" ht="34.5" customHeight="1">
      <c r="A1391" s="9">
        <v>1389</v>
      </c>
      <c r="B1391" s="10" t="str">
        <f>"54492023070310122796150"</f>
        <v>54492023070310122796150</v>
      </c>
      <c r="C1391" s="10" t="s">
        <v>13</v>
      </c>
      <c r="D1391" s="10" t="str">
        <f>"陈东正"</f>
        <v>陈东正</v>
      </c>
      <c r="E1391" s="10" t="str">
        <f>"男"</f>
        <v>男</v>
      </c>
      <c r="F1391" s="10"/>
    </row>
    <row r="1392" spans="1:6" ht="34.5" customHeight="1">
      <c r="A1392" s="9">
        <v>1390</v>
      </c>
      <c r="B1392" s="10" t="str">
        <f>"544920230710100005118831"</f>
        <v>544920230710100005118831</v>
      </c>
      <c r="C1392" s="10" t="s">
        <v>13</v>
      </c>
      <c r="D1392" s="10" t="str">
        <f>"符亚恋"</f>
        <v>符亚恋</v>
      </c>
      <c r="E1392" s="10" t="str">
        <f>"女"</f>
        <v>女</v>
      </c>
      <c r="F1392" s="10"/>
    </row>
  </sheetData>
  <sheetProtection/>
  <mergeCells count="1">
    <mergeCell ref="A1:F1"/>
  </mergeCells>
  <conditionalFormatting sqref="F37:F1348">
    <cfRule type="expression" priority="3" dxfId="0" stopIfTrue="1">
      <formula>AND(COUNTIF($F$37:$F$1348,F37)&gt;1,NOT(ISBLANK(F37)))</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黄毅</cp:lastModifiedBy>
  <dcterms:created xsi:type="dcterms:W3CDTF">2023-07-11T01:43:53Z</dcterms:created>
  <dcterms:modified xsi:type="dcterms:W3CDTF">2023-07-11T03:43:16Z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9822B7A385C5487698C95239087EFE10_13</vt:lpwstr>
  </property>
  <property fmtid="{D5CDD505-2E9C-101B-9397-08002B2CF9AE}" pid="4" name="KSOProductBuildV">
    <vt:lpwstr>2052-11.1.0.14309</vt:lpwstr>
  </property>
  <property fmtid="{D5CDD505-2E9C-101B-9397-08002B2CF9AE}" pid="5" name="KSOReadingLayo">
    <vt:bool>false</vt:bool>
  </property>
</Properties>
</file>